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27" activeTab="0"/>
  </bookViews>
  <sheets>
    <sheet name="Input Sheet" sheetId="1" r:id="rId1"/>
    <sheet name="PPO" sheetId="2" state="hidden" r:id="rId2"/>
    <sheet name="CDHP"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hidden="1">'[9]Apr 97'!$D$51:$D$62</definedName>
    <definedName name="__123Graph_ACHART1" hidden="1">'[3]Feb 95'!$B$26:$B$37</definedName>
    <definedName name="__123Graph_ACHART2" hidden="1">'[3]Feb 96'!$D$27:$D$38</definedName>
    <definedName name="__123Graph_ACHART3" hidden="1">'[5]Apr 99'!$D$46:$D$57</definedName>
    <definedName name="__123Graph_ACHART4" hidden="1">'[3]Feb 98'!$D$49:$D$60</definedName>
    <definedName name="__123Graph_ACHART5" hidden="1">'[3]Feb 97'!$D$44:$D$55</definedName>
    <definedName name="__123Graph_ACHART6" hidden="1">'[3]Sept 98'!$D$49:$D$60</definedName>
    <definedName name="__123Graph_BCHART1" hidden="1">'[3]Feb 95'!$J$26:$J$37</definedName>
    <definedName name="__123Graph_BCHART2" hidden="1">'[3]Feb 96'!$J$27:$J$38</definedName>
    <definedName name="__123Graph_BCHART4" hidden="1">'[3]Feb 98'!$J$49:$J$60</definedName>
    <definedName name="__123Graph_BCHART5" hidden="1">'[3]Feb 97'!$J$44:$J$55</definedName>
    <definedName name="__123Graph_BCHART6" hidden="1">'[3]Sept 98'!$J$49:$J$60</definedName>
    <definedName name="__123Graph_CCHART1" hidden="1">'[22]Reports'!#REF!</definedName>
    <definedName name="__123Graph_DCHART1" hidden="1">'[22]Reports'!#REF!</definedName>
    <definedName name="__123Graph_ECHART1" hidden="1">'[22]Reports'!#REF!</definedName>
    <definedName name="__123Graph_F" hidden="1">'[9]Apr 97'!$G$51:$G$62</definedName>
    <definedName name="__123Graph_FCHART1" hidden="1">'[9]Apr 98'!$G$50:$G$61</definedName>
    <definedName name="__123Graph_FCHART2" hidden="1">#REF!</definedName>
    <definedName name="__123Graph_FCHART3" hidden="1">'[5]Apr 99'!$G$46:$G$57</definedName>
    <definedName name="__123Graph_X" hidden="1">'[9]Apr 97'!$B$51:$B$62</definedName>
    <definedName name="__123Graph_XCHART1" hidden="1">'[22]Reports'!#REF!</definedName>
    <definedName name="_123x" hidden="1">'[22]Reports'!#REF!</definedName>
    <definedName name="_1995">'[3]Feb 95'!$A$3:$M$96</definedName>
    <definedName name="_1996">'[3]Feb 96'!$A$3:$M$126</definedName>
    <definedName name="_CIQ1">#REF!</definedName>
    <definedName name="_CIQ2">#REF!</definedName>
    <definedName name="_Key1" hidden="1">#REF!</definedName>
    <definedName name="_Order1" hidden="1">255</definedName>
    <definedName name="ADMINISTRATION">#REF!</definedName>
    <definedName name="AET">#REF!</definedName>
    <definedName name="AET_VISION">#REF!</definedName>
    <definedName name="Alicia">'[25]Input'!$B$23</definedName>
    <definedName name="APR_96">#REF!</definedName>
    <definedName name="APR_97">#REF!</definedName>
    <definedName name="APR_98">#REF!</definedName>
    <definedName name="APR_99">'[5]Apr 99'!$A$3:$K$63</definedName>
    <definedName name="Array">#REF!</definedName>
    <definedName name="ASORATES">#REF!</definedName>
    <definedName name="AUG_97">#REF!</definedName>
    <definedName name="AWB_BLUE_CROSS">#REF!</definedName>
    <definedName name="AWB_PLANS">#REF!</definedName>
    <definedName name="AWB_RATES">#REF!</definedName>
    <definedName name="AWB_VISION">#REF!</definedName>
    <definedName name="BID">'[3]Bid'!$A$2:$L$101</definedName>
    <definedName name="BLUE_CROSS">#REF!</definedName>
    <definedName name="BR">'[1]TrendFac'!$H$24:$I$25</definedName>
    <definedName name="BRN">#REF!</definedName>
    <definedName name="CALC">#REF!</definedName>
    <definedName name="CENSUS">#REF!</definedName>
    <definedName name="cham_ficti_group_7">#REF!</definedName>
    <definedName name="cham_ficticous_group5">#REF!</definedName>
    <definedName name="CHAMBER_MSC">#REF!</definedName>
    <definedName name="CIQ1">#REF!</definedName>
    <definedName name="CIQ2">#REF!</definedName>
    <definedName name="Claim">#REF!</definedName>
    <definedName name="coinsmntl">'[15]Input'!$G$7</definedName>
    <definedName name="coinsur">'[15]Input'!$D$20</definedName>
    <definedName name="copay">#REF!</definedName>
    <definedName name="count_yr">'[25]Simulation'!$H$2</definedName>
    <definedName name="CP_EXPENSE">'[2]Tables'!$B$8:$F$11</definedName>
    <definedName name="cpuser1">'[18]Demographic Analysis'!#REF!</definedName>
    <definedName name="cpuser2">'[18]Demographic Analysis'!#REF!</definedName>
    <definedName name="cpuser3">'[18]Demographic Analysis'!#REF!</definedName>
    <definedName name="cs">'[26]Input'!$G$7</definedName>
    <definedName name="current_drv">#REF!</definedName>
    <definedName name="CustPrint">'[25]PurePremiumDist'!$H$2:$L$28</definedName>
    <definedName name="ded">#REF!</definedName>
    <definedName name="deduct">'[25]Input'!$B$18</definedName>
    <definedName name="deduct2p">'[15]Input'!$E$18</definedName>
    <definedName name="deductf">'[15]Input'!$F$18</definedName>
    <definedName name="deducts">'[15]Input'!$D$18</definedName>
    <definedName name="denom">#REF!</definedName>
    <definedName name="DENT97">#REF!</definedName>
    <definedName name="DentAdj">#REF!</definedName>
    <definedName name="DENTAL">#REF!</definedName>
    <definedName name="Dist.">#REF!</definedName>
    <definedName name="DistSize">'[15]Input'!#REF!</definedName>
    <definedName name="EECount2000">#REF!</definedName>
    <definedName name="EECount2001">#REF!</definedName>
    <definedName name="EECount2002">#REF!</definedName>
    <definedName name="Employees">#REF!</definedName>
    <definedName name="Employer">'[11]Inputs'!$D$8</definedName>
    <definedName name="END_OF_YR">'[3]End of Yr'!$A$2:$M$38</definedName>
    <definedName name="epyrcost_yr">'[25]Input'!$E$38</definedName>
    <definedName name="exec_Summ_Bullets">'[18]Executive Summary'!$17:$20,'[18]Executive Summary'!$24:$26,'[18]Executive Summary'!$32:$34</definedName>
    <definedName name="expclaim">'[14]ClaimDist'!$A$1</definedName>
    <definedName name="expclaim_yr">'[25]Input'!$E$33</definedName>
    <definedName name="fact_tab">'[10]EHI DATA'!$C$6:$K$627</definedName>
    <definedName name="FACTORS">'[2]Tables'!$A$47:$D$51</definedName>
    <definedName name="FEB98">'[4]Experience'!$A$2:$N$133</definedName>
    <definedName name="FEB_98">'[3]Feb 98'!$A$2:$N$159</definedName>
    <definedName name="FEB97">'[3]Feb 97'!$A$2:$M$142</definedName>
    <definedName name="FINAL">#REF!</definedName>
    <definedName name="GH_CHAMBER">#REF!</definedName>
    <definedName name="GrossClaims2000">#REF!</definedName>
    <definedName name="GrossClaims2001">#REF!</definedName>
    <definedName name="GrossClaims2002">#REF!</definedName>
    <definedName name="GROUP_HEALTH">#REF!</definedName>
    <definedName name="GUARDIAN">#REF!</definedName>
    <definedName name="Hcoins">#REF!</definedName>
    <definedName name="HEALTH_PLUS">#REF!</definedName>
    <definedName name="hide_days1">#REF!</definedName>
    <definedName name="hide_days2">#REF!</definedName>
    <definedName name="hide_days3">#REF!</definedName>
    <definedName name="hide_days4">#REF!</definedName>
    <definedName name="hide_days5">#REF!</definedName>
    <definedName name="hide_row1">#REF!</definedName>
    <definedName name="hide_row2">#REF!</definedName>
    <definedName name="hide_row3">#REF!</definedName>
    <definedName name="hide_row4">#REF!</definedName>
    <definedName name="hide_row5">#REF!</definedName>
    <definedName name="hide_row6">#REF!</definedName>
    <definedName name="include">'[15]Input'!$F$19</definedName>
    <definedName name="inf">#REF!</definedName>
    <definedName name="infdata">#REF!</definedName>
    <definedName name="infl">#REF!</definedName>
    <definedName name="int04">#REF!</definedName>
    <definedName name="int05">#REF!</definedName>
    <definedName name="int06">#REF!</definedName>
    <definedName name="int07">#REF!</definedName>
    <definedName name="int08">#REF!</definedName>
    <definedName name="int09">#REF!</definedName>
    <definedName name="LIFE">#REF!</definedName>
    <definedName name="Life_Voluntary">#REF!</definedName>
    <definedName name="lisa1" hidden="1">'[3]Feb 95'!$B$26:$B$37</definedName>
    <definedName name="lisa10" hidden="1">'[3]Sept 98'!$J$49:$J$60</definedName>
    <definedName name="lisa2" hidden="1">'[3]Feb 96'!$D$27:$D$38</definedName>
    <definedName name="lisa3" hidden="1">'[3]Feb 98'!$D$49:$D$60</definedName>
    <definedName name="lisa4" hidden="1">'[3]Feb 97'!$D$44:$D$55</definedName>
    <definedName name="lisa5" hidden="1">'[3]Sept 98'!$D$49:$D$60</definedName>
    <definedName name="lisa6" hidden="1">'[3]Feb 95'!$J$26:$J$37</definedName>
    <definedName name="lisa7" hidden="1">'[3]Feb 96'!$J$27:$J$38</definedName>
    <definedName name="lisa8" hidden="1">'[3]Feb 98'!$J$49:$J$60</definedName>
    <definedName name="lisa9" hidden="1">'[3]Feb 97'!$J$44:$J$55</definedName>
    <definedName name="list_rxben">'[12]Rx'!$A$4:$A$7</definedName>
    <definedName name="list_struct">#REF!</definedName>
    <definedName name="LTD">#REF!</definedName>
    <definedName name="Macro8">[24]!Macro8</definedName>
    <definedName name="Max">'[25]Input'!$D$18</definedName>
    <definedName name="maxmntl">'[15]Input'!$G$16</definedName>
    <definedName name="MED_PROPOSALS">#REF!</definedName>
    <definedName name="Mems">'[25]Input'!$B$11</definedName>
    <definedName name="Months">#REF!</definedName>
    <definedName name="MSC">#REF!</definedName>
    <definedName name="MSCRENEWAL">#REF!</definedName>
    <definedName name="MSC_98">#REF!</definedName>
    <definedName name="MSC_99">#REF!</definedName>
    <definedName name="MSC_RENEWAL">#REF!</definedName>
    <definedName name="NBR">#REF!</definedName>
    <definedName name="Ncopay">#REF!</definedName>
    <definedName name="Nded">#REF!</definedName>
    <definedName name="net">'[1]TrendFac'!$B$5:$C$9</definedName>
    <definedName name="NHcoins">#REF!</definedName>
    <definedName name="Nnet">#REF!</definedName>
    <definedName name="NPcoins">#REF!</definedName>
    <definedName name="ooplimit">'[25]Input'!$B$21</definedName>
    <definedName name="ooplimit2p">'[15]Input'!$E$21</definedName>
    <definedName name="ooplimitf">'[15]Input'!$F$21</definedName>
    <definedName name="ooplimits">'[15]Input'!$D$21</definedName>
    <definedName name="OPTIONS">#REF!</definedName>
    <definedName name="Pcoins">#REF!</definedName>
    <definedName name="pctmntl">'[15]Input'!$H$16</definedName>
    <definedName name="perctmntl">'[17]Input'!$H$16</definedName>
    <definedName name="PHCO_INLAND">#REF!</definedName>
    <definedName name="PHOENIX">#REF!</definedName>
    <definedName name="Plan">#REF!</definedName>
    <definedName name="PLANDESIGNS">#REF!</definedName>
    <definedName name="PlanDesign">'[20]2003 Large Claims Distribution'!#REF!</definedName>
    <definedName name="PPOAdj">#REF!</definedName>
    <definedName name="_xlnm.Print_Area" localSheetId="2">'CDHP'!$A$1:$T$58</definedName>
    <definedName name="_xlnm.Print_Area" localSheetId="0">'Input Sheet'!$A$1:$P$69</definedName>
    <definedName name="_xlnm.Print_Area" localSheetId="1">'PPO'!$A$1:$T$58</definedName>
    <definedName name="_xlnm.Print_Area">'E:\Bus_Unit\Benegrp\lggroup\ExtendedSystems\TechData\monthrpt\[ESIexperiencedata_2003.XLS]YTDEstAGGAcctg'!$A$1:$E$36</definedName>
    <definedName name="Print_Area1">#REF!</definedName>
    <definedName name="Print_Area2">'[19]Plan Options $35,000 ISL'!$A$1:$A$40</definedName>
    <definedName name="prop2p">'[15]Input'!$E$17</definedName>
    <definedName name="propf">'[15]Input'!$F$17</definedName>
    <definedName name="props">'[15]Input'!$D$17</definedName>
    <definedName name="QUAL_MED">#REF!</definedName>
    <definedName name="QUAL_POS">#REF!</definedName>
    <definedName name="Random">#REF!</definedName>
    <definedName name="RATE_HIS">#REF!</definedName>
    <definedName name="rateincrease_2002">#REF!</definedName>
    <definedName name="reference">'[13]Input Sheet'!$C$25</definedName>
    <definedName name="REGEN_VISION__6">#REF!</definedName>
    <definedName name="REGEN_VISION__7">#REF!</definedName>
    <definedName name="REGENCE">#REF!</definedName>
    <definedName name="RFP">#REF!</definedName>
    <definedName name="RSR">'[5]RSR'!$A$3:$K$38</definedName>
    <definedName name="RxAdj">#REF!</definedName>
    <definedName name="sel_rx">'[12]Rx'!$A$1</definedName>
    <definedName name="sel_struct">#REF!</definedName>
    <definedName name="SEPT_97">#REF!</definedName>
    <definedName name="SEPT_98">'[3]Sept 98'!$A$2:$N$199</definedName>
    <definedName name="SOLIC">#REF!</definedName>
    <definedName name="SOLICATION">#REF!</definedName>
    <definedName name="ssl">'[16]Input'!$C$6</definedName>
    <definedName name="STOPLOSS">#REF!</definedName>
    <definedName name="stoplossi">'[15]Input'!$B$25</definedName>
    <definedName name="stoplossr">'[25]Input'!$B$13</definedName>
    <definedName name="Switch">#REF!</definedName>
    <definedName name="SYS_PRODUCTS">#REF!</definedName>
    <definedName name="TABLE13">'[23]rate sheet inc'!#REF!</definedName>
    <definedName name="TABLE14">'[23]rate sheet inc'!#REF!</definedName>
    <definedName name="TABLE15">'[23]rate sheet inc'!#REF!</definedName>
    <definedName name="TABLE18">'[23]rate sheet inc'!#REF!</definedName>
    <definedName name="TABLE2">'[23]rate sheet inc'!#REF!</definedName>
    <definedName name="TABLE3">'[23]rate sheet inc'!#REF!</definedName>
    <definedName name="TABLE5">'[23]rate sheet inc'!#REF!</definedName>
    <definedName name="TABLE7">'[23]rate sheet inc'!#REF!</definedName>
    <definedName name="Tier">#REF!</definedName>
    <definedName name="Total">'[6]Profile-2001'!$B$8</definedName>
    <definedName name="trend_comp">#REF!</definedName>
    <definedName name="UNITED_HEALTHCA">#REF!</definedName>
    <definedName name="VisAdj">#REF!</definedName>
    <definedName name="VISION">#REF!</definedName>
    <definedName name="VISION_PRINCIPA">#REF!</definedName>
    <definedName name="VSP_VISION">#REF!</definedName>
    <definedName name="WDS">#REF!</definedName>
    <definedName name="WKSHEET_AGE_RAT">#REF!</definedName>
    <definedName name="wrn.MonExpRpt." localSheetId="2" hidden="1">{"FundingPosition",#N/A,FALSE,"Summary Report";"ContractPosition",#N/A,FALSE,"Summary Report";"YTDAcctg",#N/A,FALSE,"00YTDAcctg"}</definedName>
    <definedName name="wrn.MonExpRpt." hidden="1">{"FundingPosition",#N/A,FALSE,"Summary Report";"ContractPosition",#N/A,FALSE,"Summary Report";"YTDAcctg",#N/A,FALSE,"00YTDAcctg"}</definedName>
    <definedName name="XXX">#REF!</definedName>
    <definedName name="Yrs">'[25]Input'!$B$12</definedName>
  </definedNames>
  <calcPr fullCalcOnLoad="1"/>
</workbook>
</file>

<file path=xl/comments1.xml><?xml version="1.0" encoding="utf-8"?>
<comments xmlns="http://schemas.openxmlformats.org/spreadsheetml/2006/main">
  <authors>
    <author>Lenderman, Micah</author>
  </authors>
  <commentList>
    <comment ref="G45" authorId="0">
      <text>
        <r>
          <rPr>
            <b/>
            <sz val="9"/>
            <rFont val="Tahoma"/>
            <family val="2"/>
          </rPr>
          <t>Lenderman, Micah:</t>
        </r>
        <r>
          <rPr>
            <sz val="9"/>
            <rFont val="Tahoma"/>
            <family val="2"/>
          </rPr>
          <t xml:space="preserve">
Source: 2023 Medical Benefit Plan Comparison Sheet. Composite Rate = $160.96 per month, which equals $1,932 per year.
</t>
        </r>
      </text>
    </comment>
  </commentList>
</comments>
</file>

<file path=xl/comments2.xml><?xml version="1.0" encoding="utf-8"?>
<comments xmlns="http://schemas.openxmlformats.org/spreadsheetml/2006/main">
  <authors>
    <author>Lenderman, Micah</author>
  </authors>
  <commentList>
    <comment ref="F63" authorId="0">
      <text>
        <r>
          <rPr>
            <b/>
            <sz val="9"/>
            <rFont val="Tahoma"/>
            <family val="2"/>
          </rPr>
          <t>Lenderman, Micah:</t>
        </r>
        <r>
          <rPr>
            <sz val="9"/>
            <rFont val="Tahoma"/>
            <family val="2"/>
          </rPr>
          <t xml:space="preserve">
For 2021, HRA contribution = $100/month.</t>
        </r>
      </text>
    </comment>
  </commentList>
</comments>
</file>

<file path=xl/comments3.xml><?xml version="1.0" encoding="utf-8"?>
<comments xmlns="http://schemas.openxmlformats.org/spreadsheetml/2006/main">
  <authors>
    <author>Lenderman, Micah</author>
  </authors>
  <commentList>
    <comment ref="F63" authorId="0">
      <text>
        <r>
          <rPr>
            <b/>
            <sz val="9"/>
            <rFont val="Tahoma"/>
            <family val="2"/>
          </rPr>
          <t>Lenderman, Micah:</t>
        </r>
        <r>
          <rPr>
            <sz val="9"/>
            <rFont val="Tahoma"/>
            <family val="2"/>
          </rPr>
          <t xml:space="preserve">
For 2021, HRA contribution is $100/month.  NOTE: this is monthly contribution is for all plans.  CDHP also receives an annual $1,250 HRA contribution.</t>
        </r>
      </text>
    </comment>
  </commentList>
</comments>
</file>

<file path=xl/sharedStrings.xml><?xml version="1.0" encoding="utf-8"?>
<sst xmlns="http://schemas.openxmlformats.org/spreadsheetml/2006/main" count="361" uniqueCount="140">
  <si>
    <t>Premium</t>
  </si>
  <si>
    <t>Family</t>
  </si>
  <si>
    <t>Please select applicable participants:</t>
  </si>
  <si>
    <t xml:space="preserve">Employee </t>
  </si>
  <si>
    <t>Yes</t>
  </si>
  <si>
    <t>Spouse (Y/N)</t>
  </si>
  <si>
    <t>Self</t>
  </si>
  <si>
    <t>Spouse</t>
  </si>
  <si>
    <t>Child(ren)</t>
  </si>
  <si>
    <t xml:space="preserve"> Retail</t>
  </si>
  <si>
    <t>Mail-Order</t>
  </si>
  <si>
    <t>Generic</t>
  </si>
  <si>
    <t>Hospital Stays</t>
  </si>
  <si>
    <t>Total Expected Healthcare Costs</t>
  </si>
  <si>
    <t>Total Expenses</t>
  </si>
  <si>
    <t>An annual prescription for Mail-Order drugs should be shown as "4" fills.</t>
  </si>
  <si>
    <t>Costs assume utilizing In-Network providers.  Utilizing non-preferred providers will lead to significantly higher out-of-pocket expenses.</t>
  </si>
  <si>
    <t>Assumptions</t>
  </si>
  <si>
    <t>Dependents</t>
  </si>
  <si>
    <t>Prevent</t>
  </si>
  <si>
    <t>GP</t>
  </si>
  <si>
    <t>Dr Visits</t>
  </si>
  <si>
    <t>Copay Per Visit</t>
  </si>
  <si>
    <t>Sps</t>
  </si>
  <si>
    <t>OV</t>
  </si>
  <si>
    <t>Chrn</t>
  </si>
  <si>
    <t>Based on an allowed amount of $4,000 per day</t>
  </si>
  <si>
    <t>for an average length stay of 3 days = $12,000</t>
  </si>
  <si>
    <t>ER Visits</t>
  </si>
  <si>
    <t>ER Copay</t>
  </si>
  <si>
    <t>ER</t>
  </si>
  <si>
    <t>Retail</t>
  </si>
  <si>
    <t>Mail Order</t>
  </si>
  <si>
    <t>Rx</t>
  </si>
  <si>
    <t>Copay:</t>
  </si>
  <si>
    <t>Mail Order:</t>
  </si>
  <si>
    <t>RX</t>
  </si>
  <si>
    <t>Expenses Before</t>
  </si>
  <si>
    <t>OV Copays</t>
  </si>
  <si>
    <t>ER Copays</t>
  </si>
  <si>
    <t>Rx Copays</t>
  </si>
  <si>
    <t>Total</t>
  </si>
  <si>
    <t>Deduct &amp; Coins Applied</t>
  </si>
  <si>
    <t>Coins</t>
  </si>
  <si>
    <t>Expense Calculation</t>
  </si>
  <si>
    <t>Hosp Exp</t>
  </si>
  <si>
    <t>Deductible</t>
  </si>
  <si>
    <t>Coins+Ded</t>
  </si>
  <si>
    <t>Max OOP</t>
  </si>
  <si>
    <t>Deduct</t>
  </si>
  <si>
    <t>Total OOP</t>
  </si>
  <si>
    <t>Max Multiple</t>
  </si>
  <si>
    <t>Total HC Costs</t>
  </si>
  <si>
    <t>EE</t>
  </si>
  <si>
    <t>Deps</t>
  </si>
  <si>
    <t>Remaining Max OOP Balance</t>
  </si>
  <si>
    <t>Employee Only</t>
  </si>
  <si>
    <t>EE + Sp</t>
  </si>
  <si>
    <t>EE + Ch</t>
  </si>
  <si>
    <t>Total Premium</t>
  </si>
  <si>
    <t>ER Costs</t>
  </si>
  <si>
    <t>Severe Hospitalization?</t>
  </si>
  <si>
    <t>Total Employee Expenses</t>
  </si>
  <si>
    <t>Brand</t>
  </si>
  <si>
    <t>DXL</t>
  </si>
  <si>
    <t>Hosp/ER</t>
  </si>
  <si>
    <t>ER Exp</t>
  </si>
  <si>
    <t>Buy-Up Plan Element</t>
  </si>
  <si>
    <t>ES</t>
  </si>
  <si>
    <t>EC</t>
  </si>
  <si>
    <t>ESC</t>
  </si>
  <si>
    <t>ESC+</t>
  </si>
  <si>
    <t>EC+</t>
  </si>
  <si>
    <t>Cost Per Visit =</t>
  </si>
  <si>
    <t>Prevent covered @</t>
  </si>
  <si>
    <t>Prof covered @</t>
  </si>
  <si>
    <t>ER Cost =</t>
  </si>
  <si>
    <t>Non-Pref</t>
  </si>
  <si>
    <t>Cost</t>
  </si>
  <si>
    <t>Hosp</t>
  </si>
  <si>
    <t>Rx Costs</t>
  </si>
  <si>
    <t>Ttl Exp</t>
  </si>
  <si>
    <t>on your physician or provider choices.</t>
  </si>
  <si>
    <t>Healthcare Expenses illustrated in this model are approximations of average charges.  Actual expenses may vary significantly depending</t>
  </si>
  <si>
    <t>Complex</t>
  </si>
  <si>
    <t>Ttl Visits</t>
  </si>
  <si>
    <t>(6) Please indicate the total # of times a prescription is filled.  A Mail-Order prescription equals a 90 day supply.</t>
  </si>
  <si>
    <t>(4) Complex Diagnostic, Lab &amp; X-Ray include MRI, CT Scans, MRA, EEG, and PET/SPECT.</t>
  </si>
  <si>
    <t>Basic Outpatient Lab and X-Ray</t>
  </si>
  <si>
    <t>Preferred Brand</t>
  </si>
  <si>
    <t>Non-Preferred Brand</t>
  </si>
  <si>
    <t>NP Brnd</t>
  </si>
  <si>
    <t>Pref Brnd</t>
  </si>
  <si>
    <t>Less Applied HRA Reimbursement</t>
  </si>
  <si>
    <t>HRA Contributions</t>
  </si>
  <si>
    <t>PPO Plan</t>
  </si>
  <si>
    <t>CDHP Plan</t>
  </si>
  <si>
    <t xml:space="preserve">(2) GP Visits include: Primary Care Physician, Family Doctor, Pediatrician, and Internists, as well as Urgent Care, but does not </t>
  </si>
  <si>
    <t>include Preventive visits.</t>
  </si>
  <si>
    <t xml:space="preserve">(5) Emergency Room services include a Copay feature (except for the CDHP Plan), physician services performed during an ER are </t>
  </si>
  <si>
    <t>subject to Deductible &amp; Coinsurance.</t>
  </si>
  <si>
    <t>Deductible:</t>
  </si>
  <si>
    <t>Plan Option:</t>
  </si>
  <si>
    <t>Phys Ther</t>
  </si>
  <si>
    <t>(3) Specialists include, but are not limited to Cardiologists, Radiologists, Podiatrists, Physical Therapists, etc.</t>
  </si>
  <si>
    <t>Based on an allowed amount of $5,000 per day</t>
  </si>
  <si>
    <t>for an average length stay of 3 days = $15,000</t>
  </si>
  <si>
    <t>the Maximum Out-of-Pocket expenses.</t>
  </si>
  <si>
    <t>Do you choose to apply your FSA dollars towards your expenses?</t>
  </si>
  <si>
    <t>Less Applied FSA Amount</t>
  </si>
  <si>
    <t>*You input your FSA dollars available</t>
  </si>
  <si>
    <t>*FSA balance you wish to make available:</t>
  </si>
  <si>
    <t>*FSA balance after amount applied:</t>
  </si>
  <si>
    <t>HC Costs Less FSA/HRA</t>
  </si>
  <si>
    <t>Applied HRA</t>
  </si>
  <si>
    <t>Applied FSA</t>
  </si>
  <si>
    <t>FSA Input</t>
  </si>
  <si>
    <t>Total Healthcare Expenses Less FSA and/or HRA</t>
  </si>
  <si>
    <t xml:space="preserve">Employee Premium </t>
  </si>
  <si>
    <r>
      <t>Preventive Care Office Visits</t>
    </r>
    <r>
      <rPr>
        <sz val="10"/>
        <rFont val="Arial"/>
        <family val="2"/>
      </rPr>
      <t xml:space="preserve"> </t>
    </r>
    <r>
      <rPr>
        <vertAlign val="superscript"/>
        <sz val="10"/>
        <rFont val="Arial"/>
        <family val="2"/>
      </rPr>
      <t>(1)</t>
    </r>
  </si>
  <si>
    <r>
      <t>General Practioner/Specialist Visits</t>
    </r>
    <r>
      <rPr>
        <sz val="10"/>
        <rFont val="Arial"/>
        <family val="2"/>
      </rPr>
      <t xml:space="preserve"> </t>
    </r>
    <r>
      <rPr>
        <vertAlign val="superscript"/>
        <sz val="10"/>
        <rFont val="Arial"/>
        <family val="2"/>
      </rPr>
      <t>(2)(3)</t>
    </r>
  </si>
  <si>
    <r>
      <t xml:space="preserve">Physical Therapy Visits </t>
    </r>
    <r>
      <rPr>
        <b/>
        <vertAlign val="superscript"/>
        <sz val="10"/>
        <rFont val="Arial"/>
        <family val="2"/>
      </rPr>
      <t>(3)</t>
    </r>
  </si>
  <si>
    <r>
      <t xml:space="preserve">Complex Imaging </t>
    </r>
    <r>
      <rPr>
        <b/>
        <vertAlign val="superscript"/>
        <sz val="10"/>
        <rFont val="Arial"/>
        <family val="2"/>
      </rPr>
      <t>(4)</t>
    </r>
  </si>
  <si>
    <r>
      <t xml:space="preserve">Emergency Room Visits </t>
    </r>
    <r>
      <rPr>
        <b/>
        <vertAlign val="superscript"/>
        <sz val="10"/>
        <rFont val="Arial"/>
        <family val="2"/>
      </rPr>
      <t>(5)</t>
    </r>
  </si>
  <si>
    <r>
      <t xml:space="preserve">Total Prescription Drug Fills </t>
    </r>
    <r>
      <rPr>
        <vertAlign val="superscript"/>
        <sz val="10"/>
        <rFont val="Arial"/>
        <family val="2"/>
      </rPr>
      <t>(6)</t>
    </r>
  </si>
  <si>
    <r>
      <t xml:space="preserve">Total Healthcare Expense </t>
    </r>
    <r>
      <rPr>
        <vertAlign val="superscript"/>
        <sz val="10"/>
        <rFont val="Arial"/>
        <family val="2"/>
      </rPr>
      <t>(7)</t>
    </r>
  </si>
  <si>
    <t>Total HRA</t>
  </si>
  <si>
    <t>Projected Employee Healthcare Cost Calculator</t>
  </si>
  <si>
    <t>(1) For the CDHP, all Preventive Office Visits are covered at 100%.  Preventive diagnostic &amp; lab work are included in this assumption.</t>
  </si>
  <si>
    <t>No</t>
  </si>
  <si>
    <t>Remaining Potential Out of Pocket Cost (Deductible and Coinsurance)</t>
  </si>
  <si>
    <t>teamwork</t>
  </si>
  <si>
    <t>Do you choose to apply your VEBA dollars towards your expenses?</t>
  </si>
  <si>
    <t xml:space="preserve">(7) Office Visit, Physician and ER Copays DO APPLY towards Maximum Out-of-Pocket expenses.  Rx Copays DO APPLY towards </t>
  </si>
  <si>
    <t>VEBA Contributions</t>
  </si>
  <si>
    <t>*VEBA balance available - PPO:</t>
  </si>
  <si>
    <t>*VEBA balance available - CDHP:</t>
  </si>
  <si>
    <t>HRA Plan Element</t>
  </si>
  <si>
    <t>Copay Visits</t>
  </si>
  <si>
    <t xml:space="preserve">DXL/Complex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</si>
</sst>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quot;$&quot;#,##0"/>
    <numFmt numFmtId="168" formatCode="_(&quot;$&quot;* #,##0_);_(&quot;$&quot;* \(#,##0\);_(&quot;$&quot;* &quot;-&quot;??_);_(@_)"/>
    <numFmt numFmtId="169" formatCode="0.0000"/>
    <numFmt numFmtId="170" formatCode="&quot;$&quot;#,##0.0"/>
    <numFmt numFmtId="171" formatCode="&quot;$&quot;#,##0.000"/>
    <numFmt numFmtId="172" formatCode="_(&quot;$&quot;* #,##0.000_);_(&quot;$&quot;* \(#,##0.000\);_(&quot;$&quot;* &quot;-&quot;??_);_(@_)"/>
    <numFmt numFmtId="173" formatCode="_(&quot;$&quot;* #,##0.0000_);_(&quot;$&quot;* \(#,##0.0000\);_(&quot;$&quot;* &quot;-&quot;??_);_(@_)"/>
    <numFmt numFmtId="174" formatCode="_(&quot;$&quot;* #,##0.0_);_(&quot;$&quot;* \(#,##0.0\);_(&quot;$&quot;*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mmm\-yy_)"/>
    <numFmt numFmtId="182" formatCode="&quot;$&quot;#,##0.00;[Red]&quot;$&quot;#,##0.00"/>
    <numFmt numFmtId="183" formatCode="&quot;$&quot;#,##0;[Red]&quot;$&quot;#,##0"/>
    <numFmt numFmtId="184" formatCode="#,##0.0_);\(#,##0.0\)"/>
    <numFmt numFmtId="185" formatCode="0.0"/>
    <numFmt numFmtId="186" formatCode="[$-409]mmm\-yy;@"/>
    <numFmt numFmtId="187" formatCode="#,##0.0"/>
    <numFmt numFmtId="188" formatCode="&quot;$&quot;#,##0.0_);\(&quot;$&quot;#,##0.0\)"/>
    <numFmt numFmtId="189" formatCode="0.0000%"/>
    <numFmt numFmtId="190" formatCode="0.000%"/>
    <numFmt numFmtId="191" formatCode="_(* #,##0_);_(* \(#,##0\);_(* &quot;-&quot;??_);_(@_)"/>
    <numFmt numFmtId="192" formatCode="mmmm\ d\,\ yyyy"/>
    <numFmt numFmtId="193" formatCode="[$-409]h:mm:ss\ AM/PM"/>
    <numFmt numFmtId="194" formatCode="&quot;$&quot;#,##0.000_);\(&quot;$&quot;#,##0.000\)"/>
    <numFmt numFmtId="195" formatCode="&quot;$&quot;#,##0.0000_);\(&quot;$&quot;#,##0.0000\)"/>
    <numFmt numFmtId="196" formatCode="[$-409]dddd\,\ mmmm\ dd\,\ yyyy"/>
    <numFmt numFmtId="197" formatCode="[$-409]mmmm\-yy;@"/>
    <numFmt numFmtId="198" formatCode="0.000000000000000%"/>
    <numFmt numFmtId="199" formatCode="0.00000000000000%"/>
    <numFmt numFmtId="200" formatCode="0.0000000000000%"/>
    <numFmt numFmtId="201" formatCode="0.000000000000%"/>
    <numFmt numFmtId="202" formatCode="mmmm\-yy"/>
    <numFmt numFmtId="203" formatCode="0;\-0;;@"/>
    <numFmt numFmtId="204" formatCode="0,000;\-0,000;;@"/>
    <numFmt numFmtId="205" formatCode="#,##0.000"/>
    <numFmt numFmtId="206" formatCode="#,##0.000_);\(#,##0.000\)"/>
    <numFmt numFmtId="207" formatCode="#,##0.0000_);\(#,##0.0000\)"/>
    <numFmt numFmtId="208" formatCode="0_);\(0\)"/>
    <numFmt numFmtId="209" formatCode="0.00000%"/>
    <numFmt numFmtId="210" formatCode="0.000000%"/>
    <numFmt numFmtId="211" formatCode="_(* #,##0.000_);_(* \(#,##0.000\);_(* &quot;-&quot;??_);_(@_)"/>
    <numFmt numFmtId="212" formatCode="&quot;$&quot;#,##0.0000"/>
    <numFmt numFmtId="213" formatCode="m/d/yy"/>
    <numFmt numFmtId="214" formatCode="_(* #,##0.0_);_(* \(#,##0.0\);_(* &quot;-&quot;??_);_(@_)"/>
    <numFmt numFmtId="215" formatCode="0.0000000%"/>
    <numFmt numFmtId="216" formatCode="0.00000000%"/>
    <numFmt numFmtId="217" formatCode="0.000000000%"/>
    <numFmt numFmtId="218" formatCode="0.0000000000%"/>
    <numFmt numFmtId="219" formatCode="0.00000000000%"/>
  </numFmts>
  <fonts count="50">
    <font>
      <sz val="10"/>
      <name val="Arial"/>
      <family val="0"/>
    </font>
    <font>
      <sz val="10"/>
      <name val="MS Sans Serif"/>
      <family val="2"/>
    </font>
    <font>
      <u val="single"/>
      <sz val="9"/>
      <color indexed="36"/>
      <name val="Times New Roman"/>
      <family val="1"/>
    </font>
    <font>
      <u val="single"/>
      <sz val="9"/>
      <color indexed="12"/>
      <name val="Times New Roman"/>
      <family val="1"/>
    </font>
    <font>
      <sz val="8"/>
      <name val="Times New Roman"/>
      <family val="1"/>
    </font>
    <font>
      <sz val="10"/>
      <name val="Times New Roman"/>
      <family val="1"/>
    </font>
    <font>
      <sz val="12"/>
      <name val="Times New Roman"/>
      <family val="1"/>
    </font>
    <font>
      <sz val="14"/>
      <name val="Times New Roman"/>
      <family val="1"/>
    </font>
    <font>
      <sz val="10"/>
      <color indexed="10"/>
      <name val="Times New Roman"/>
      <family val="1"/>
    </font>
    <font>
      <b/>
      <sz val="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color indexed="22"/>
      <name val="Times New Roman"/>
      <family val="1"/>
    </font>
    <font>
      <u val="single"/>
      <sz val="10"/>
      <color indexed="8"/>
      <name val="Times New Roman"/>
      <family val="1"/>
    </font>
    <font>
      <sz val="10"/>
      <color indexed="8"/>
      <name val="Times New Roman"/>
      <family val="1"/>
    </font>
    <font>
      <b/>
      <sz val="16"/>
      <name val="Arial"/>
      <family val="2"/>
    </font>
    <font>
      <sz val="8"/>
      <name val="Arial"/>
      <family val="2"/>
    </font>
    <font>
      <b/>
      <sz val="14"/>
      <name val="Arial"/>
      <family val="2"/>
    </font>
    <font>
      <b/>
      <sz val="10"/>
      <name val="Arial"/>
      <family val="2"/>
    </font>
    <font>
      <sz val="11"/>
      <name val="Arial"/>
      <family val="2"/>
    </font>
    <font>
      <b/>
      <sz val="11"/>
      <name val="Arial"/>
      <family val="2"/>
    </font>
    <font>
      <vertAlign val="superscript"/>
      <sz val="10"/>
      <name val="Arial"/>
      <family val="2"/>
    </font>
    <font>
      <b/>
      <vertAlign val="superscript"/>
      <sz val="10"/>
      <name val="Arial"/>
      <family val="2"/>
    </font>
    <font>
      <sz val="11"/>
      <name val="Times New Roman"/>
      <family val="1"/>
    </font>
    <font>
      <sz val="14"/>
      <name val="Arial"/>
      <family val="2"/>
    </font>
    <font>
      <sz val="10.5"/>
      <name val="Arial"/>
      <family val="2"/>
    </font>
    <font>
      <i/>
      <sz val="10"/>
      <name val="Arial"/>
      <family val="2"/>
    </font>
    <font>
      <sz val="6"/>
      <name val="Arial"/>
      <family val="2"/>
    </font>
    <font>
      <sz val="9"/>
      <name val="Tahoma"/>
      <family val="2"/>
    </font>
    <font>
      <b/>
      <sz val="9"/>
      <name val="Tahoma"/>
      <family val="2"/>
    </font>
    <font>
      <b/>
      <sz val="12"/>
      <name val="Times New Roman"/>
      <family val="1"/>
    </font>
    <font>
      <sz val="8"/>
      <name val="Segoe U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double"/>
      <right>
        <color indexed="63"/>
      </right>
      <top style="double"/>
      <bottom>
        <color indexed="63"/>
      </bottom>
    </border>
    <border>
      <left>
        <color indexed="63"/>
      </left>
      <right style="double"/>
      <top style="double"/>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color indexed="63"/>
      </left>
      <right style="medium"/>
      <top>
        <color indexed="63"/>
      </top>
      <bottom style="medium"/>
    </border>
    <border>
      <left style="mediumDashDot"/>
      <right style="mediumDashDot"/>
      <top style="mediumDashDot"/>
      <bottom>
        <color indexed="63"/>
      </bottom>
    </border>
    <border>
      <left style="mediumDashDot"/>
      <right style="mediumDashDot"/>
      <top>
        <color indexed="63"/>
      </top>
      <bottom>
        <color indexed="63"/>
      </bottom>
    </border>
    <border>
      <left style="mediumDashDot"/>
      <right style="mediumDashDot"/>
      <top>
        <color indexed="63"/>
      </top>
      <bottom style="mediumDashDot"/>
    </border>
    <border>
      <left>
        <color indexed="63"/>
      </left>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color indexed="12"/>
      </left>
      <right style="double">
        <color indexed="12"/>
      </right>
      <top style="double">
        <color indexed="12"/>
      </top>
      <bottom style="double">
        <color indexed="12"/>
      </bottom>
    </border>
    <border>
      <left>
        <color indexed="63"/>
      </left>
      <right>
        <color indexed="63"/>
      </right>
      <top>
        <color indexed="63"/>
      </top>
      <bottom style="medium">
        <color indexed="18"/>
      </bottom>
    </border>
    <border>
      <left>
        <color indexed="63"/>
      </left>
      <right>
        <color indexed="63"/>
      </right>
      <top>
        <color indexed="63"/>
      </top>
      <bottom style="thin">
        <color indexed="18"/>
      </bottom>
    </border>
    <border>
      <left>
        <color indexed="63"/>
      </left>
      <right>
        <color indexed="63"/>
      </right>
      <top style="thin">
        <color indexed="18"/>
      </top>
      <bottom style="double">
        <color indexed="18"/>
      </bottom>
    </border>
    <border>
      <left>
        <color indexed="63"/>
      </left>
      <right>
        <color indexed="63"/>
      </right>
      <top style="medium">
        <color indexed="51"/>
      </top>
      <bottom>
        <color indexed="63"/>
      </bottom>
    </border>
    <border>
      <left>
        <color indexed="63"/>
      </left>
      <right>
        <color indexed="63"/>
      </right>
      <top style="medium">
        <color indexed="1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1" fillId="0" borderId="0">
      <alignment/>
      <protection/>
    </xf>
    <xf numFmtId="166" fontId="1"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5"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5" fillId="0" borderId="10">
      <alignment horizontal="center" vertical="top"/>
      <protection/>
    </xf>
  </cellStyleXfs>
  <cellXfs count="260">
    <xf numFmtId="0" fontId="0" fillId="0" borderId="0" xfId="0" applyAlignment="1">
      <alignment/>
    </xf>
    <xf numFmtId="0" fontId="7" fillId="0" borderId="0" xfId="59" applyFont="1" applyBorder="1">
      <alignment/>
      <protection/>
    </xf>
    <xf numFmtId="0" fontId="5" fillId="0" borderId="0" xfId="59" applyBorder="1">
      <alignment/>
      <protection/>
    </xf>
    <xf numFmtId="0" fontId="5" fillId="0" borderId="0" xfId="59" applyBorder="1" applyAlignment="1">
      <alignment horizontal="center"/>
      <protection/>
    </xf>
    <xf numFmtId="0" fontId="5" fillId="8" borderId="0" xfId="59" applyFill="1" applyBorder="1">
      <alignment/>
      <protection/>
    </xf>
    <xf numFmtId="0" fontId="5" fillId="0" borderId="11" xfId="59" applyBorder="1" applyAlignment="1">
      <alignment horizontal="center"/>
      <protection/>
    </xf>
    <xf numFmtId="0" fontId="5" fillId="0" borderId="12" xfId="59" applyBorder="1" applyAlignment="1">
      <alignment horizontal="center"/>
      <protection/>
    </xf>
    <xf numFmtId="0" fontId="5" fillId="0" borderId="0" xfId="59" applyFill="1" applyBorder="1" applyAlignment="1">
      <alignment horizontal="center"/>
      <protection/>
    </xf>
    <xf numFmtId="0" fontId="5" fillId="0" borderId="13" xfId="59" applyBorder="1" applyAlignment="1">
      <alignment horizontal="center"/>
      <protection/>
    </xf>
    <xf numFmtId="0" fontId="5" fillId="0" borderId="0" xfId="59" applyFill="1" applyBorder="1">
      <alignment/>
      <protection/>
    </xf>
    <xf numFmtId="0" fontId="5" fillId="0" borderId="0" xfId="59">
      <alignment/>
      <protection/>
    </xf>
    <xf numFmtId="167" fontId="5" fillId="8" borderId="0" xfId="59" applyNumberFormat="1" applyFill="1" applyBorder="1" applyAlignment="1">
      <alignment horizontal="center"/>
      <protection/>
    </xf>
    <xf numFmtId="167" fontId="5" fillId="0" borderId="14" xfId="59" applyNumberFormat="1" applyBorder="1" applyAlignment="1">
      <alignment horizontal="center"/>
      <protection/>
    </xf>
    <xf numFmtId="167" fontId="5" fillId="0" borderId="0" xfId="59" applyNumberFormat="1" applyBorder="1" applyAlignment="1">
      <alignment horizontal="center"/>
      <protection/>
    </xf>
    <xf numFmtId="167" fontId="5" fillId="0" borderId="15" xfId="59" applyNumberFormat="1" applyBorder="1" applyAlignment="1">
      <alignment horizontal="center"/>
      <protection/>
    </xf>
    <xf numFmtId="9" fontId="5" fillId="0" borderId="0" xfId="59" applyNumberFormat="1" applyFill="1" applyBorder="1" applyAlignment="1">
      <alignment horizontal="center"/>
      <protection/>
    </xf>
    <xf numFmtId="167" fontId="5" fillId="0" borderId="16" xfId="59" applyNumberFormat="1" applyBorder="1" applyAlignment="1">
      <alignment horizontal="center"/>
      <protection/>
    </xf>
    <xf numFmtId="6" fontId="5" fillId="0" borderId="17" xfId="59" applyNumberFormat="1" applyBorder="1" applyAlignment="1">
      <alignment horizontal="center"/>
      <protection/>
    </xf>
    <xf numFmtId="0" fontId="5" fillId="0" borderId="0" xfId="59" applyFont="1" applyFill="1" applyAlignment="1">
      <alignment horizontal="left"/>
      <protection/>
    </xf>
    <xf numFmtId="6" fontId="5" fillId="0" borderId="14" xfId="59" applyNumberFormat="1" applyBorder="1" applyAlignment="1">
      <alignment horizontal="center"/>
      <protection/>
    </xf>
    <xf numFmtId="6" fontId="5" fillId="0" borderId="15" xfId="59" applyNumberFormat="1" applyBorder="1" applyAlignment="1">
      <alignment horizontal="center"/>
      <protection/>
    </xf>
    <xf numFmtId="6" fontId="5" fillId="0" borderId="16" xfId="59" applyNumberFormat="1" applyBorder="1" applyAlignment="1">
      <alignment horizontal="center"/>
      <protection/>
    </xf>
    <xf numFmtId="6" fontId="5" fillId="8" borderId="0" xfId="59" applyNumberFormat="1" applyFill="1" applyBorder="1" applyAlignment="1">
      <alignment horizontal="center"/>
      <protection/>
    </xf>
    <xf numFmtId="0" fontId="5" fillId="0" borderId="0" xfId="59" applyAlignment="1">
      <alignment horizontal="center"/>
      <protection/>
    </xf>
    <xf numFmtId="167" fontId="5" fillId="0" borderId="0" xfId="59" applyNumberFormat="1" applyFill="1" applyAlignment="1">
      <alignment horizontal="center"/>
      <protection/>
    </xf>
    <xf numFmtId="0" fontId="5" fillId="0" borderId="18" xfId="59" applyBorder="1" applyAlignment="1">
      <alignment horizontal="center"/>
      <protection/>
    </xf>
    <xf numFmtId="0" fontId="5" fillId="0" borderId="19" xfId="59" applyBorder="1" applyAlignment="1">
      <alignment horizontal="center"/>
      <protection/>
    </xf>
    <xf numFmtId="0" fontId="5" fillId="0" borderId="0" xfId="59" applyAlignment="1">
      <alignment horizontal="right"/>
      <protection/>
    </xf>
    <xf numFmtId="167" fontId="5" fillId="8" borderId="0" xfId="59" applyNumberFormat="1" applyFill="1" applyAlignment="1">
      <alignment horizontal="center"/>
      <protection/>
    </xf>
    <xf numFmtId="167" fontId="5" fillId="0" borderId="20" xfId="59" applyNumberFormat="1" applyBorder="1" applyAlignment="1">
      <alignment horizontal="center"/>
      <protection/>
    </xf>
    <xf numFmtId="167" fontId="5" fillId="0" borderId="21" xfId="59" applyNumberFormat="1" applyBorder="1" applyAlignment="1">
      <alignment horizontal="center"/>
      <protection/>
    </xf>
    <xf numFmtId="0" fontId="5" fillId="0" borderId="0" xfId="59" applyBorder="1" applyAlignment="1">
      <alignment horizontal="left" indent="2"/>
      <protection/>
    </xf>
    <xf numFmtId="0" fontId="5" fillId="0" borderId="22" xfId="59" applyBorder="1" applyAlignment="1">
      <alignment horizontal="center"/>
      <protection/>
    </xf>
    <xf numFmtId="0" fontId="5" fillId="0" borderId="23" xfId="59" applyBorder="1" applyAlignment="1">
      <alignment horizontal="center"/>
      <protection/>
    </xf>
    <xf numFmtId="0" fontId="5" fillId="0" borderId="0" xfId="59" applyBorder="1" applyAlignment="1">
      <alignment horizontal="right"/>
      <protection/>
    </xf>
    <xf numFmtId="167" fontId="5" fillId="0" borderId="24" xfId="59" applyNumberFormat="1" applyBorder="1" applyAlignment="1">
      <alignment horizontal="center"/>
      <protection/>
    </xf>
    <xf numFmtId="167" fontId="5" fillId="0" borderId="25" xfId="59" applyNumberFormat="1" applyBorder="1" applyAlignment="1">
      <alignment horizontal="center"/>
      <protection/>
    </xf>
    <xf numFmtId="0" fontId="5" fillId="0" borderId="26" xfId="59" applyBorder="1" applyAlignment="1">
      <alignment horizontal="center"/>
      <protection/>
    </xf>
    <xf numFmtId="0" fontId="5" fillId="0" borderId="27" xfId="59" applyBorder="1" applyAlignment="1">
      <alignment horizontal="center"/>
      <protection/>
    </xf>
    <xf numFmtId="167" fontId="5" fillId="0" borderId="28" xfId="59" applyNumberFormat="1" applyBorder="1" applyAlignment="1">
      <alignment horizontal="center"/>
      <protection/>
    </xf>
    <xf numFmtId="167" fontId="5" fillId="0" borderId="29" xfId="59" applyNumberFormat="1" applyBorder="1" applyAlignment="1">
      <alignment horizontal="center"/>
      <protection/>
    </xf>
    <xf numFmtId="0" fontId="5" fillId="0" borderId="30" xfId="59" applyBorder="1" applyAlignment="1">
      <alignment horizontal="center"/>
      <protection/>
    </xf>
    <xf numFmtId="0" fontId="5" fillId="0" borderId="0" xfId="59" applyBorder="1" applyAlignment="1">
      <alignment horizontal="left" indent="1"/>
      <protection/>
    </xf>
    <xf numFmtId="167" fontId="5" fillId="0" borderId="31" xfId="59" applyNumberFormat="1" applyBorder="1" applyAlignment="1">
      <alignment horizontal="center"/>
      <protection/>
    </xf>
    <xf numFmtId="6" fontId="5" fillId="0" borderId="0" xfId="59" applyNumberFormat="1" applyBorder="1" applyAlignment="1">
      <alignment horizontal="center"/>
      <protection/>
    </xf>
    <xf numFmtId="0" fontId="5" fillId="0" borderId="31" xfId="59" applyBorder="1" applyAlignment="1">
      <alignment horizontal="center"/>
      <protection/>
    </xf>
    <xf numFmtId="167" fontId="5" fillId="0" borderId="32" xfId="59" applyNumberFormat="1" applyBorder="1" applyAlignment="1">
      <alignment horizontal="center"/>
      <protection/>
    </xf>
    <xf numFmtId="9" fontId="5" fillId="8" borderId="0" xfId="59" applyNumberFormat="1" applyFill="1" applyBorder="1" applyAlignment="1">
      <alignment horizontal="center"/>
      <protection/>
    </xf>
    <xf numFmtId="9" fontId="5" fillId="0" borderId="0" xfId="59" applyNumberFormat="1" applyBorder="1" applyAlignment="1">
      <alignment horizontal="center"/>
      <protection/>
    </xf>
    <xf numFmtId="0" fontId="8" fillId="0" borderId="0" xfId="59" applyFont="1" applyBorder="1">
      <alignment/>
      <protection/>
    </xf>
    <xf numFmtId="0" fontId="5" fillId="0" borderId="0" xfId="59" applyFont="1">
      <alignment/>
      <protection/>
    </xf>
    <xf numFmtId="167" fontId="5" fillId="0" borderId="0" xfId="59" applyNumberFormat="1" applyFont="1" applyBorder="1">
      <alignment/>
      <protection/>
    </xf>
    <xf numFmtId="0" fontId="5" fillId="0" borderId="0" xfId="59" applyFont="1" applyAlignment="1">
      <alignment horizontal="center"/>
      <protection/>
    </xf>
    <xf numFmtId="167" fontId="5" fillId="0" borderId="0" xfId="59" applyNumberFormat="1" applyFont="1" applyAlignment="1">
      <alignment horizontal="center"/>
      <protection/>
    </xf>
    <xf numFmtId="0" fontId="5" fillId="0" borderId="20" xfId="59" applyBorder="1">
      <alignment/>
      <protection/>
    </xf>
    <xf numFmtId="0" fontId="5" fillId="0" borderId="33" xfId="59" applyBorder="1" applyAlignment="1">
      <alignment horizontal="right"/>
      <protection/>
    </xf>
    <xf numFmtId="167" fontId="5" fillId="4" borderId="14" xfId="59" applyNumberFormat="1" applyFill="1" applyBorder="1" applyAlignment="1">
      <alignment horizontal="center"/>
      <protection/>
    </xf>
    <xf numFmtId="164" fontId="9" fillId="4" borderId="34" xfId="59" applyNumberFormat="1" applyFont="1" applyFill="1" applyBorder="1" applyAlignment="1">
      <alignment horizontal="centerContinuous"/>
      <protection/>
    </xf>
    <xf numFmtId="0" fontId="5" fillId="4" borderId="17" xfId="59" applyFill="1" applyBorder="1" applyAlignment="1">
      <alignment horizontal="centerContinuous"/>
      <protection/>
    </xf>
    <xf numFmtId="0" fontId="5" fillId="0" borderId="0" xfId="59" applyFont="1" applyBorder="1">
      <alignment/>
      <protection/>
    </xf>
    <xf numFmtId="0" fontId="5" fillId="0" borderId="24" xfId="59" applyBorder="1">
      <alignment/>
      <protection/>
    </xf>
    <xf numFmtId="167" fontId="10" fillId="4" borderId="15" xfId="59" applyNumberFormat="1" applyFont="1" applyFill="1" applyBorder="1" applyAlignment="1">
      <alignment horizontal="center"/>
      <protection/>
    </xf>
    <xf numFmtId="0" fontId="5" fillId="0" borderId="28" xfId="59" applyBorder="1">
      <alignment/>
      <protection/>
    </xf>
    <xf numFmtId="0" fontId="5" fillId="0" borderId="35" xfId="59" applyBorder="1" applyAlignment="1">
      <alignment horizontal="right"/>
      <protection/>
    </xf>
    <xf numFmtId="167" fontId="5" fillId="4" borderId="16" xfId="59" applyNumberFormat="1" applyFill="1" applyBorder="1" applyAlignment="1">
      <alignment horizontal="center"/>
      <protection/>
    </xf>
    <xf numFmtId="0" fontId="8" fillId="0" borderId="0" xfId="59" applyFont="1" applyFill="1" applyBorder="1">
      <alignment/>
      <protection/>
    </xf>
    <xf numFmtId="164" fontId="9" fillId="0" borderId="36" xfId="59" applyNumberFormat="1" applyFont="1" applyFill="1" applyBorder="1" applyAlignment="1">
      <alignment horizontal="centerContinuous"/>
      <protection/>
    </xf>
    <xf numFmtId="0" fontId="5" fillId="0" borderId="36" xfId="59" applyFill="1" applyBorder="1" applyAlignment="1">
      <alignment horizontal="centerContinuous"/>
      <protection/>
    </xf>
    <xf numFmtId="0" fontId="5" fillId="0" borderId="0" xfId="59" applyFont="1" applyAlignment="1">
      <alignment horizontal="right"/>
      <protection/>
    </xf>
    <xf numFmtId="0" fontId="5" fillId="0" borderId="33" xfId="59" applyFill="1" applyBorder="1">
      <alignment/>
      <protection/>
    </xf>
    <xf numFmtId="0" fontId="5" fillId="0" borderId="33" xfId="59" applyFill="1" applyBorder="1" applyAlignment="1">
      <alignment horizontal="right"/>
      <protection/>
    </xf>
    <xf numFmtId="167" fontId="5" fillId="0" borderId="33" xfId="59" applyNumberFormat="1" applyFill="1" applyBorder="1" applyAlignment="1">
      <alignment horizontal="center"/>
      <protection/>
    </xf>
    <xf numFmtId="167" fontId="5" fillId="0" borderId="0" xfId="59" applyNumberFormat="1" applyFill="1" applyBorder="1" applyAlignment="1">
      <alignment horizontal="center"/>
      <protection/>
    </xf>
    <xf numFmtId="0" fontId="6" fillId="0" borderId="0" xfId="59" applyFont="1">
      <alignment/>
      <protection/>
    </xf>
    <xf numFmtId="0" fontId="6" fillId="0" borderId="0" xfId="59" applyFont="1" applyBorder="1">
      <alignment/>
      <protection/>
    </xf>
    <xf numFmtId="0" fontId="5" fillId="0" borderId="33" xfId="59" applyBorder="1">
      <alignment/>
      <protection/>
    </xf>
    <xf numFmtId="0" fontId="5" fillId="0" borderId="33" xfId="59" applyBorder="1" applyAlignment="1">
      <alignment horizontal="center"/>
      <protection/>
    </xf>
    <xf numFmtId="3" fontId="9" fillId="0" borderId="34" xfId="59" applyNumberFormat="1" applyFont="1" applyFill="1" applyBorder="1" applyAlignment="1">
      <alignment horizontal="center"/>
      <protection/>
    </xf>
    <xf numFmtId="0" fontId="5" fillId="0" borderId="33" xfId="59" applyFont="1" applyBorder="1">
      <alignment/>
      <protection/>
    </xf>
    <xf numFmtId="167" fontId="5" fillId="0" borderId="33" xfId="59" applyNumberFormat="1" applyBorder="1">
      <alignment/>
      <protection/>
    </xf>
    <xf numFmtId="0" fontId="5" fillId="0" borderId="15" xfId="59" applyBorder="1">
      <alignment/>
      <protection/>
    </xf>
    <xf numFmtId="167" fontId="5" fillId="0" borderId="0" xfId="59" applyNumberFormat="1" applyBorder="1">
      <alignment/>
      <protection/>
    </xf>
    <xf numFmtId="0" fontId="5" fillId="0" borderId="15" xfId="59" applyFont="1" applyBorder="1" applyAlignment="1">
      <alignment horizontal="center"/>
      <protection/>
    </xf>
    <xf numFmtId="0" fontId="5" fillId="4" borderId="15" xfId="59" applyFill="1" applyBorder="1" applyAlignment="1">
      <alignment horizontal="center"/>
      <protection/>
    </xf>
    <xf numFmtId="0" fontId="9" fillId="0" borderId="35" xfId="59" applyFont="1" applyFill="1" applyBorder="1">
      <alignment/>
      <protection/>
    </xf>
    <xf numFmtId="0" fontId="5" fillId="0" borderId="35" xfId="59" applyBorder="1" applyAlignment="1">
      <alignment horizontal="center"/>
      <protection/>
    </xf>
    <xf numFmtId="0" fontId="5" fillId="0" borderId="35" xfId="59" applyBorder="1">
      <alignment/>
      <protection/>
    </xf>
    <xf numFmtId="164" fontId="9" fillId="4" borderId="16" xfId="59" applyNumberFormat="1" applyFont="1" applyFill="1" applyBorder="1">
      <alignment/>
      <protection/>
    </xf>
    <xf numFmtId="0" fontId="5" fillId="0" borderId="0" xfId="59" applyFont="1" applyBorder="1" applyAlignment="1">
      <alignment horizontal="center"/>
      <protection/>
    </xf>
    <xf numFmtId="0" fontId="5" fillId="0" borderId="30" xfId="59" applyFont="1" applyBorder="1" applyAlignment="1">
      <alignment horizontal="center"/>
      <protection/>
    </xf>
    <xf numFmtId="0" fontId="5" fillId="0" borderId="0" xfId="59" applyFont="1" applyAlignment="1">
      <alignment horizontal="center"/>
      <protection/>
    </xf>
    <xf numFmtId="9" fontId="5" fillId="0" borderId="0" xfId="59" applyNumberFormat="1" applyFont="1" applyFill="1" applyBorder="1" applyAlignment="1">
      <alignment horizontal="center"/>
      <protection/>
    </xf>
    <xf numFmtId="0" fontId="5" fillId="0" borderId="0" xfId="59" applyFont="1" applyBorder="1">
      <alignment/>
      <protection/>
    </xf>
    <xf numFmtId="0" fontId="5" fillId="4" borderId="34" xfId="59" applyFill="1" applyBorder="1" applyAlignment="1">
      <alignment horizontal="center"/>
      <protection/>
    </xf>
    <xf numFmtId="0" fontId="5" fillId="0" borderId="14" xfId="59" applyFont="1" applyBorder="1" applyAlignment="1">
      <alignment horizontal="center"/>
      <protection/>
    </xf>
    <xf numFmtId="0" fontId="5" fillId="4" borderId="16" xfId="59" applyFill="1" applyBorder="1" applyAlignment="1">
      <alignment horizontal="center"/>
      <protection/>
    </xf>
    <xf numFmtId="0" fontId="5" fillId="0" borderId="37" xfId="59" applyBorder="1">
      <alignment/>
      <protection/>
    </xf>
    <xf numFmtId="0" fontId="5" fillId="0" borderId="38" xfId="59" applyBorder="1">
      <alignment/>
      <protection/>
    </xf>
    <xf numFmtId="0" fontId="5" fillId="0" borderId="39" xfId="59" applyBorder="1">
      <alignment/>
      <protection/>
    </xf>
    <xf numFmtId="0" fontId="5" fillId="0" borderId="40" xfId="59" applyBorder="1">
      <alignment/>
      <protection/>
    </xf>
    <xf numFmtId="0" fontId="5" fillId="20" borderId="0" xfId="59" applyFill="1" applyBorder="1">
      <alignment/>
      <protection/>
    </xf>
    <xf numFmtId="0" fontId="5" fillId="0" borderId="0" xfId="59" applyFont="1">
      <alignment/>
      <protection/>
    </xf>
    <xf numFmtId="0" fontId="0" fillId="0" borderId="0" xfId="0" applyBorder="1" applyAlignment="1">
      <alignment/>
    </xf>
    <xf numFmtId="9" fontId="0" fillId="8" borderId="0" xfId="0" applyNumberFormat="1" applyFill="1" applyBorder="1" applyAlignment="1">
      <alignment horizontal="center"/>
    </xf>
    <xf numFmtId="0" fontId="5" fillId="0" borderId="0" xfId="59" applyFont="1" applyAlignment="1">
      <alignment horizontal="right"/>
      <protection/>
    </xf>
    <xf numFmtId="0" fontId="29" fillId="0" borderId="0" xfId="59" applyFont="1" applyFill="1" applyBorder="1" applyAlignment="1">
      <alignment horizontal="center"/>
      <protection/>
    </xf>
    <xf numFmtId="167" fontId="29" fillId="0" borderId="0" xfId="59" applyNumberFormat="1" applyFont="1" applyBorder="1" applyAlignment="1">
      <alignment horizontal="center"/>
      <protection/>
    </xf>
    <xf numFmtId="0" fontId="5" fillId="8" borderId="0" xfId="59" applyFill="1" applyBorder="1" applyAlignment="1">
      <alignment horizontal="center"/>
      <protection/>
    </xf>
    <xf numFmtId="0" fontId="29" fillId="0" borderId="0" xfId="59" applyFont="1" applyBorder="1">
      <alignment/>
      <protection/>
    </xf>
    <xf numFmtId="7" fontId="9" fillId="4" borderId="34" xfId="59" applyNumberFormat="1" applyFont="1" applyFill="1" applyBorder="1" applyAlignment="1">
      <alignment horizontal="centerContinuous"/>
      <protection/>
    </xf>
    <xf numFmtId="7" fontId="5" fillId="0" borderId="0" xfId="59" applyNumberFormat="1" applyBorder="1" applyAlignment="1">
      <alignment horizontal="centerContinuous"/>
      <protection/>
    </xf>
    <xf numFmtId="0" fontId="5" fillId="0" borderId="0" xfId="59" applyBorder="1" applyAlignment="1">
      <alignment horizontal="centerContinuous"/>
      <protection/>
    </xf>
    <xf numFmtId="0" fontId="5" fillId="0" borderId="20" xfId="59" applyFont="1" applyBorder="1">
      <alignment/>
      <protection/>
    </xf>
    <xf numFmtId="0" fontId="0" fillId="0" borderId="20" xfId="0" applyBorder="1" applyAlignment="1">
      <alignment/>
    </xf>
    <xf numFmtId="0" fontId="0" fillId="0" borderId="33" xfId="0" applyBorder="1" applyAlignment="1">
      <alignment horizontal="right"/>
    </xf>
    <xf numFmtId="167" fontId="0" fillId="4" borderId="14" xfId="0" applyNumberFormat="1" applyFill="1" applyBorder="1" applyAlignment="1">
      <alignment horizontal="center"/>
    </xf>
    <xf numFmtId="0" fontId="5" fillId="0" borderId="24" xfId="59" applyFont="1" applyBorder="1" applyAlignment="1">
      <alignment horizontal="center"/>
      <protection/>
    </xf>
    <xf numFmtId="0" fontId="0" fillId="0" borderId="24" xfId="0" applyBorder="1" applyAlignment="1">
      <alignment/>
    </xf>
    <xf numFmtId="167" fontId="0" fillId="4" borderId="15" xfId="0" applyNumberFormat="1" applyFill="1" applyBorder="1" applyAlignment="1">
      <alignment horizontal="center"/>
    </xf>
    <xf numFmtId="0" fontId="0" fillId="0" borderId="0" xfId="0" applyBorder="1" applyAlignment="1">
      <alignment horizontal="right"/>
    </xf>
    <xf numFmtId="0" fontId="0" fillId="4" borderId="15" xfId="0" applyFill="1" applyBorder="1" applyAlignment="1">
      <alignment horizontal="center"/>
    </xf>
    <xf numFmtId="0" fontId="5" fillId="0" borderId="24" xfId="59" applyFill="1" applyBorder="1" applyAlignment="1">
      <alignment horizontal="center"/>
      <protection/>
    </xf>
    <xf numFmtId="164" fontId="9" fillId="0" borderId="24" xfId="59" applyNumberFormat="1" applyFont="1" applyFill="1" applyBorder="1">
      <alignment/>
      <protection/>
    </xf>
    <xf numFmtId="0" fontId="0" fillId="0" borderId="28" xfId="0" applyBorder="1" applyAlignment="1">
      <alignment/>
    </xf>
    <xf numFmtId="0" fontId="0" fillId="0" borderId="35" xfId="0" applyBorder="1" applyAlignment="1">
      <alignment horizontal="right"/>
    </xf>
    <xf numFmtId="167" fontId="9" fillId="4" borderId="34" xfId="0" applyNumberFormat="1" applyFont="1" applyFill="1" applyBorder="1" applyAlignment="1">
      <alignment horizontal="center"/>
    </xf>
    <xf numFmtId="0" fontId="5" fillId="0" borderId="0" xfId="59" applyFont="1" applyFill="1" applyBorder="1" applyAlignment="1">
      <alignment horizontal="center"/>
      <protection/>
    </xf>
    <xf numFmtId="167" fontId="30" fillId="4" borderId="15" xfId="59" applyNumberFormat="1" applyFont="1" applyFill="1" applyBorder="1" applyAlignment="1">
      <alignment horizontal="center"/>
      <protection/>
    </xf>
    <xf numFmtId="6" fontId="31" fillId="0" borderId="14" xfId="59" applyNumberFormat="1" applyFont="1" applyBorder="1" applyAlignment="1">
      <alignment horizontal="center"/>
      <protection/>
    </xf>
    <xf numFmtId="6" fontId="31" fillId="0" borderId="15" xfId="59" applyNumberFormat="1" applyFont="1" applyBorder="1" applyAlignment="1">
      <alignment horizontal="center"/>
      <protection/>
    </xf>
    <xf numFmtId="6" fontId="31" fillId="0" borderId="16" xfId="59" applyNumberFormat="1" applyFont="1" applyBorder="1" applyAlignment="1">
      <alignment horizontal="center"/>
      <protection/>
    </xf>
    <xf numFmtId="0" fontId="31" fillId="0" borderId="0" xfId="59" applyFont="1" applyBorder="1">
      <alignment/>
      <protection/>
    </xf>
    <xf numFmtId="0" fontId="31" fillId="0" borderId="0" xfId="59" applyFont="1" applyFill="1" applyBorder="1" applyAlignment="1">
      <alignment horizontal="center"/>
      <protection/>
    </xf>
    <xf numFmtId="167" fontId="5" fillId="0" borderId="33" xfId="59" applyNumberFormat="1" applyBorder="1" applyAlignment="1">
      <alignment horizontal="center"/>
      <protection/>
    </xf>
    <xf numFmtId="167" fontId="5" fillId="0" borderId="35" xfId="59" applyNumberFormat="1" applyBorder="1" applyAlignment="1">
      <alignment horizontal="center"/>
      <protection/>
    </xf>
    <xf numFmtId="0" fontId="28" fillId="24" borderId="0" xfId="59" applyFont="1" applyFill="1" applyProtection="1">
      <alignment/>
      <protection/>
    </xf>
    <xf numFmtId="0" fontId="28" fillId="24" borderId="0" xfId="59" applyFont="1" applyFill="1" applyBorder="1" applyProtection="1">
      <alignment/>
      <protection/>
    </xf>
    <xf numFmtId="0" fontId="28" fillId="24" borderId="0" xfId="59" applyFont="1" applyFill="1" applyAlignment="1" applyProtection="1">
      <alignment horizontal="right"/>
      <protection/>
    </xf>
    <xf numFmtId="167" fontId="28" fillId="24" borderId="0" xfId="59" applyNumberFormat="1" applyFont="1" applyFill="1" applyProtection="1">
      <alignment/>
      <protection/>
    </xf>
    <xf numFmtId="167" fontId="28" fillId="24" borderId="0" xfId="59" applyNumberFormat="1" applyFont="1" applyFill="1" applyBorder="1" applyProtection="1">
      <alignment/>
      <protection/>
    </xf>
    <xf numFmtId="2" fontId="5" fillId="0" borderId="0" xfId="59" applyNumberFormat="1" applyBorder="1" applyAlignment="1">
      <alignment horizontal="center"/>
      <protection/>
    </xf>
    <xf numFmtId="0" fontId="6" fillId="0" borderId="15" xfId="59" applyFont="1" applyBorder="1">
      <alignment/>
      <protection/>
    </xf>
    <xf numFmtId="0" fontId="6" fillId="0" borderId="34" xfId="59" applyFont="1" applyBorder="1">
      <alignment/>
      <protection/>
    </xf>
    <xf numFmtId="0" fontId="0" fillId="0" borderId="0" xfId="0" applyFont="1" applyBorder="1" applyAlignment="1">
      <alignment horizontal="right"/>
    </xf>
    <xf numFmtId="167" fontId="31" fillId="4" borderId="15" xfId="0" applyNumberFormat="1" applyFont="1" applyFill="1" applyBorder="1" applyAlignment="1">
      <alignment horizontal="center"/>
    </xf>
    <xf numFmtId="0" fontId="5" fillId="0" borderId="0" xfId="0" applyFont="1" applyBorder="1" applyAlignment="1">
      <alignment horizontal="right"/>
    </xf>
    <xf numFmtId="0" fontId="32" fillId="24" borderId="0" xfId="60" applyFont="1" applyFill="1" applyAlignment="1" applyProtection="1">
      <alignment horizontal="centerContinuous" vertical="center"/>
      <protection/>
    </xf>
    <xf numFmtId="0" fontId="28" fillId="24" borderId="0" xfId="60" applyFont="1" applyFill="1" applyAlignment="1" applyProtection="1">
      <alignment horizontal="centerContinuous" vertical="center"/>
      <protection/>
    </xf>
    <xf numFmtId="0" fontId="28" fillId="24" borderId="0" xfId="60" applyFont="1" applyFill="1" applyBorder="1" applyAlignment="1" applyProtection="1">
      <alignment horizontal="centerContinuous" vertical="center"/>
      <protection/>
    </xf>
    <xf numFmtId="0" fontId="33" fillId="24" borderId="0" xfId="59" applyFont="1" applyFill="1" applyAlignment="1" applyProtection="1">
      <alignment horizontal="centerContinuous" vertical="center"/>
      <protection/>
    </xf>
    <xf numFmtId="0" fontId="28" fillId="24" borderId="0" xfId="59" applyFont="1" applyFill="1" applyAlignment="1" applyProtection="1">
      <alignment horizontal="left"/>
      <protection/>
    </xf>
    <xf numFmtId="0" fontId="34" fillId="24" borderId="0" xfId="60" applyFont="1" applyFill="1" applyAlignment="1" applyProtection="1">
      <alignment horizontal="centerContinuous"/>
      <protection/>
    </xf>
    <xf numFmtId="0" fontId="28" fillId="24" borderId="0" xfId="60" applyFont="1" applyFill="1" applyAlignment="1" applyProtection="1">
      <alignment horizontal="centerContinuous"/>
      <protection/>
    </xf>
    <xf numFmtId="0" fontId="28" fillId="24" borderId="0" xfId="60" applyFont="1" applyFill="1" applyBorder="1" applyAlignment="1" applyProtection="1">
      <alignment horizontal="centerContinuous"/>
      <protection/>
    </xf>
    <xf numFmtId="0" fontId="28" fillId="24" borderId="0" xfId="59" applyFont="1" applyFill="1" applyAlignment="1" applyProtection="1">
      <alignment horizontal="left" indent="1"/>
      <protection/>
    </xf>
    <xf numFmtId="0" fontId="0" fillId="24" borderId="0" xfId="59" applyFont="1" applyFill="1" applyAlignment="1" applyProtection="1">
      <alignment horizontal="left" indent="1"/>
      <protection/>
    </xf>
    <xf numFmtId="0" fontId="0" fillId="24" borderId="0" xfId="59" applyFont="1" applyFill="1" applyProtection="1">
      <alignment/>
      <protection/>
    </xf>
    <xf numFmtId="0" fontId="0" fillId="24" borderId="0" xfId="59" applyFont="1" applyFill="1" applyBorder="1" applyProtection="1">
      <alignment/>
      <protection/>
    </xf>
    <xf numFmtId="0" fontId="0" fillId="24" borderId="0" xfId="59" applyFont="1" applyFill="1" applyAlignment="1" applyProtection="1">
      <alignment horizontal="left"/>
      <protection/>
    </xf>
    <xf numFmtId="0" fontId="35" fillId="24" borderId="0" xfId="59" applyFont="1" applyFill="1" applyBorder="1" applyAlignment="1" applyProtection="1">
      <alignment horizontal="left" indent="1"/>
      <protection/>
    </xf>
    <xf numFmtId="0" fontId="36" fillId="24" borderId="41" xfId="59" applyFont="1" applyFill="1" applyBorder="1" applyAlignment="1" applyProtection="1">
      <alignment horizontal="center" vertical="center"/>
      <protection locked="0"/>
    </xf>
    <xf numFmtId="0" fontId="28" fillId="24" borderId="0" xfId="59" applyFont="1" applyFill="1" applyBorder="1" applyAlignment="1" applyProtection="1">
      <alignment horizontal="left" indent="1"/>
      <protection/>
    </xf>
    <xf numFmtId="0" fontId="36" fillId="24" borderId="0" xfId="59" applyFont="1" applyFill="1" applyBorder="1" applyAlignment="1" applyProtection="1">
      <alignment horizontal="left" indent="1"/>
      <protection/>
    </xf>
    <xf numFmtId="0" fontId="36" fillId="24" borderId="0" xfId="59" applyFont="1" applyFill="1" applyBorder="1" applyProtection="1">
      <alignment/>
      <protection/>
    </xf>
    <xf numFmtId="0" fontId="36" fillId="24" borderId="0" xfId="59" applyFont="1" applyFill="1" applyBorder="1" applyAlignment="1" applyProtection="1">
      <alignment wrapText="1"/>
      <protection/>
    </xf>
    <xf numFmtId="0" fontId="35" fillId="24" borderId="0" xfId="59" applyFont="1" applyFill="1" applyBorder="1" applyAlignment="1" applyProtection="1">
      <alignment horizontal="center"/>
      <protection/>
    </xf>
    <xf numFmtId="0" fontId="37" fillId="24" borderId="0" xfId="59" applyFont="1" applyFill="1" applyBorder="1" applyProtection="1">
      <alignment/>
      <protection/>
    </xf>
    <xf numFmtId="0" fontId="37" fillId="24" borderId="0" xfId="59" applyFont="1" applyFill="1" applyBorder="1" applyAlignment="1" applyProtection="1">
      <alignment horizontal="center"/>
      <protection/>
    </xf>
    <xf numFmtId="0" fontId="36" fillId="24" borderId="0" xfId="59" applyFont="1" applyFill="1" applyBorder="1" applyAlignment="1" applyProtection="1">
      <alignment horizontal="center"/>
      <protection/>
    </xf>
    <xf numFmtId="0" fontId="36" fillId="24" borderId="0" xfId="59" applyFont="1" applyFill="1" applyProtection="1">
      <alignment/>
      <protection/>
    </xf>
    <xf numFmtId="0" fontId="36" fillId="24" borderId="0" xfId="59" applyFont="1" applyFill="1" applyAlignment="1" applyProtection="1">
      <alignment horizontal="left"/>
      <protection/>
    </xf>
    <xf numFmtId="0" fontId="0" fillId="24" borderId="0" xfId="59" applyFont="1" applyFill="1" applyBorder="1" applyAlignment="1" applyProtection="1">
      <alignment horizontal="center"/>
      <protection/>
    </xf>
    <xf numFmtId="0" fontId="0" fillId="24" borderId="0" xfId="59" applyFont="1" applyFill="1" applyBorder="1" applyAlignment="1" applyProtection="1">
      <alignment horizontal="center" vertical="center"/>
      <protection/>
    </xf>
    <xf numFmtId="0" fontId="0" fillId="24" borderId="0" xfId="59" applyFont="1" applyFill="1" applyBorder="1" applyAlignment="1" applyProtection="1">
      <alignment horizontal="left" indent="1"/>
      <protection/>
    </xf>
    <xf numFmtId="0" fontId="36" fillId="24" borderId="0" xfId="59" applyFont="1" applyFill="1" applyBorder="1" applyAlignment="1" applyProtection="1">
      <alignment horizontal="center" vertical="center"/>
      <protection/>
    </xf>
    <xf numFmtId="0" fontId="37" fillId="24" borderId="0" xfId="59" applyFont="1" applyFill="1" applyBorder="1" applyAlignment="1" applyProtection="1">
      <alignment horizontal="left" indent="1"/>
      <protection/>
    </xf>
    <xf numFmtId="5" fontId="36" fillId="24" borderId="0" xfId="59" applyNumberFormat="1" applyFont="1" applyFill="1" applyBorder="1" applyAlignment="1" applyProtection="1">
      <alignment horizontal="centerContinuous"/>
      <protection/>
    </xf>
    <xf numFmtId="0" fontId="0" fillId="24" borderId="0" xfId="59" applyFont="1" applyFill="1" applyBorder="1" applyAlignment="1" applyProtection="1">
      <alignment wrapText="1"/>
      <protection/>
    </xf>
    <xf numFmtId="0" fontId="28" fillId="24" borderId="42" xfId="59" applyFont="1" applyFill="1" applyBorder="1" applyAlignment="1" applyProtection="1">
      <alignment horizontal="left" indent="1"/>
      <protection/>
    </xf>
    <xf numFmtId="0" fontId="28" fillId="24" borderId="42" xfId="59" applyFont="1" applyFill="1" applyBorder="1" applyProtection="1">
      <alignment/>
      <protection/>
    </xf>
    <xf numFmtId="0" fontId="28" fillId="24" borderId="42" xfId="59" applyFont="1" applyFill="1" applyBorder="1" applyAlignment="1" applyProtection="1">
      <alignment horizontal="center"/>
      <protection/>
    </xf>
    <xf numFmtId="0" fontId="6" fillId="24" borderId="0" xfId="59" applyFont="1" applyFill="1" applyBorder="1" applyAlignment="1" applyProtection="1">
      <alignment horizontal="left" indent="1"/>
      <protection/>
    </xf>
    <xf numFmtId="167" fontId="40" fillId="24" borderId="41" xfId="59" applyNumberFormat="1" applyFont="1" applyFill="1" applyBorder="1" applyAlignment="1" applyProtection="1">
      <alignment horizontal="center" vertical="center"/>
      <protection locked="0"/>
    </xf>
    <xf numFmtId="167" fontId="40" fillId="24" borderId="0" xfId="59" applyNumberFormat="1" applyFont="1" applyFill="1" applyBorder="1" applyAlignment="1" applyProtection="1">
      <alignment horizontal="center"/>
      <protection/>
    </xf>
    <xf numFmtId="0" fontId="34" fillId="24" borderId="0" xfId="60" applyFont="1" applyFill="1" applyBorder="1" applyAlignment="1" applyProtection="1">
      <alignment horizontal="centerContinuous"/>
      <protection/>
    </xf>
    <xf numFmtId="0" fontId="41" fillId="24" borderId="0" xfId="60" applyFont="1" applyFill="1" applyBorder="1" applyAlignment="1" applyProtection="1">
      <alignment horizontal="centerContinuous"/>
      <protection/>
    </xf>
    <xf numFmtId="0" fontId="41" fillId="24" borderId="0" xfId="59" applyFont="1" applyFill="1" applyAlignment="1" applyProtection="1">
      <alignment horizontal="left"/>
      <protection/>
    </xf>
    <xf numFmtId="0" fontId="41" fillId="24" borderId="0" xfId="59" applyFont="1" applyFill="1" applyProtection="1">
      <alignment/>
      <protection/>
    </xf>
    <xf numFmtId="0" fontId="35" fillId="24" borderId="0" xfId="59" applyFont="1" applyFill="1" applyBorder="1" applyProtection="1">
      <alignment/>
      <protection/>
    </xf>
    <xf numFmtId="0" fontId="0" fillId="24" borderId="43" xfId="59" applyFont="1" applyFill="1" applyBorder="1" applyProtection="1">
      <alignment/>
      <protection/>
    </xf>
    <xf numFmtId="6" fontId="0" fillId="24" borderId="43" xfId="59" applyNumberFormat="1" applyFont="1" applyFill="1" applyBorder="1" applyAlignment="1" applyProtection="1">
      <alignment horizontal="center"/>
      <protection/>
    </xf>
    <xf numFmtId="0" fontId="0" fillId="24" borderId="43" xfId="59" applyFont="1" applyFill="1" applyBorder="1" applyAlignment="1" applyProtection="1">
      <alignment horizontal="center"/>
      <protection/>
    </xf>
    <xf numFmtId="0" fontId="28" fillId="24" borderId="0" xfId="59" applyFont="1" applyFill="1" applyBorder="1" applyAlignment="1" applyProtection="1">
      <alignment horizontal="center"/>
      <protection/>
    </xf>
    <xf numFmtId="167" fontId="28" fillId="24" borderId="0" xfId="59" applyNumberFormat="1" applyFont="1" applyFill="1" applyBorder="1" applyAlignment="1" applyProtection="1">
      <alignment horizontal="center"/>
      <protection/>
    </xf>
    <xf numFmtId="5" fontId="36" fillId="24" borderId="0" xfId="59" applyNumberFormat="1" applyFont="1" applyFill="1" applyBorder="1" applyAlignment="1" applyProtection="1">
      <alignment horizontal="center"/>
      <protection/>
    </xf>
    <xf numFmtId="167" fontId="36" fillId="24" borderId="0" xfId="59" applyNumberFormat="1" applyFont="1" applyFill="1" applyBorder="1" applyAlignment="1" applyProtection="1">
      <alignment horizontal="center"/>
      <protection/>
    </xf>
    <xf numFmtId="0" fontId="0" fillId="24" borderId="0" xfId="59" applyFont="1" applyFill="1" applyBorder="1" applyAlignment="1" applyProtection="1">
      <alignment horizontal="left" indent="2"/>
      <protection/>
    </xf>
    <xf numFmtId="0" fontId="42" fillId="24" borderId="0" xfId="59" applyFont="1" applyFill="1" applyBorder="1" applyProtection="1">
      <alignment/>
      <protection/>
    </xf>
    <xf numFmtId="0" fontId="42" fillId="24" borderId="43" xfId="59" applyFont="1" applyFill="1" applyBorder="1" applyProtection="1">
      <alignment/>
      <protection/>
    </xf>
    <xf numFmtId="5" fontId="36" fillId="24" borderId="43" xfId="59" applyNumberFormat="1" applyFont="1" applyFill="1" applyBorder="1" applyAlignment="1" applyProtection="1">
      <alignment horizontal="center"/>
      <protection/>
    </xf>
    <xf numFmtId="0" fontId="36" fillId="24" borderId="0" xfId="59" applyFont="1" applyFill="1" applyBorder="1" applyAlignment="1" applyProtection="1">
      <alignment horizontal="left" indent="2"/>
      <protection/>
    </xf>
    <xf numFmtId="5" fontId="36" fillId="24" borderId="44" xfId="59" applyNumberFormat="1" applyFont="1" applyFill="1" applyBorder="1" applyAlignment="1" applyProtection="1">
      <alignment horizontal="center"/>
      <protection/>
    </xf>
    <xf numFmtId="0" fontId="34" fillId="24" borderId="45" xfId="60" applyFont="1" applyFill="1" applyBorder="1" applyAlignment="1" applyProtection="1">
      <alignment horizontal="centerContinuous"/>
      <protection/>
    </xf>
    <xf numFmtId="0" fontId="41" fillId="24" borderId="45" xfId="60" applyFont="1" applyFill="1" applyBorder="1" applyAlignment="1" applyProtection="1">
      <alignment horizontal="centerContinuous"/>
      <protection/>
    </xf>
    <xf numFmtId="167" fontId="36" fillId="24" borderId="44" xfId="59" applyNumberFormat="1" applyFont="1" applyFill="1" applyBorder="1" applyAlignment="1" applyProtection="1">
      <alignment horizontal="center"/>
      <protection/>
    </xf>
    <xf numFmtId="0" fontId="0" fillId="24" borderId="0" xfId="59" applyFont="1" applyFill="1" applyAlignment="1" applyProtection="1">
      <alignment horizontal="left" indent="3"/>
      <protection/>
    </xf>
    <xf numFmtId="167" fontId="0" fillId="24" borderId="0" xfId="59" applyNumberFormat="1" applyFont="1" applyFill="1" applyBorder="1" applyAlignment="1" applyProtection="1">
      <alignment horizontal="center" wrapText="1"/>
      <protection/>
    </xf>
    <xf numFmtId="167" fontId="28" fillId="24" borderId="0" xfId="59" applyNumberFormat="1" applyFont="1" applyFill="1" applyAlignment="1" applyProtection="1">
      <alignment horizontal="center"/>
      <protection/>
    </xf>
    <xf numFmtId="0" fontId="43" fillId="24" borderId="0" xfId="59" applyFont="1" applyFill="1" applyAlignment="1" applyProtection="1">
      <alignment horizontal="left" indent="1"/>
      <protection/>
    </xf>
    <xf numFmtId="167" fontId="36" fillId="24" borderId="0" xfId="59" applyNumberFormat="1" applyFont="1" applyFill="1" applyAlignment="1" applyProtection="1">
      <alignment horizontal="center"/>
      <protection/>
    </xf>
    <xf numFmtId="167" fontId="36" fillId="24" borderId="0" xfId="59" applyNumberFormat="1" applyFont="1" applyFill="1" applyProtection="1">
      <alignment/>
      <protection/>
    </xf>
    <xf numFmtId="167" fontId="36" fillId="24" borderId="0" xfId="59" applyNumberFormat="1" applyFont="1" applyFill="1" applyBorder="1" applyProtection="1">
      <alignment/>
      <protection/>
    </xf>
    <xf numFmtId="1" fontId="33" fillId="24" borderId="0" xfId="59" applyNumberFormat="1" applyFont="1" applyFill="1" applyAlignment="1" applyProtection="1">
      <alignment horizontal="right"/>
      <protection/>
    </xf>
    <xf numFmtId="1" fontId="28" fillId="24" borderId="0" xfId="59" applyNumberFormat="1" applyFont="1" applyFill="1" applyProtection="1">
      <alignment/>
      <protection/>
    </xf>
    <xf numFmtId="167" fontId="5" fillId="25" borderId="0" xfId="59" applyNumberFormat="1" applyFill="1" applyBorder="1" applyAlignment="1">
      <alignment horizontal="center"/>
      <protection/>
    </xf>
    <xf numFmtId="0" fontId="36" fillId="25" borderId="0" xfId="59" applyFont="1" applyFill="1" applyBorder="1" applyAlignment="1" applyProtection="1">
      <alignment horizontal="left" indent="1"/>
      <protection/>
    </xf>
    <xf numFmtId="0" fontId="36" fillId="25" borderId="0" xfId="59" applyFont="1" applyFill="1" applyBorder="1" applyProtection="1">
      <alignment/>
      <protection/>
    </xf>
    <xf numFmtId="0" fontId="36" fillId="25" borderId="0" xfId="59" applyFont="1" applyFill="1" applyBorder="1" applyAlignment="1" applyProtection="1">
      <alignment horizontal="center"/>
      <protection/>
    </xf>
    <xf numFmtId="0" fontId="36" fillId="25" borderId="0" xfId="59" applyFont="1" applyFill="1" applyProtection="1">
      <alignment/>
      <protection/>
    </xf>
    <xf numFmtId="5" fontId="36" fillId="25" borderId="0" xfId="59" applyNumberFormat="1" applyFont="1" applyFill="1" applyBorder="1" applyAlignment="1" applyProtection="1">
      <alignment horizontal="center"/>
      <protection/>
    </xf>
    <xf numFmtId="167" fontId="36" fillId="25" borderId="0" xfId="59" applyNumberFormat="1" applyFont="1" applyFill="1" applyBorder="1" applyAlignment="1" applyProtection="1">
      <alignment horizontal="center"/>
      <protection/>
    </xf>
    <xf numFmtId="0" fontId="0" fillId="24" borderId="0" xfId="0" applyFont="1" applyFill="1" applyAlignment="1" applyProtection="1">
      <alignment wrapText="1"/>
      <protection/>
    </xf>
    <xf numFmtId="0" fontId="0" fillId="24" borderId="0" xfId="0" applyFont="1" applyFill="1" applyAlignment="1" applyProtection="1">
      <alignment/>
      <protection/>
    </xf>
    <xf numFmtId="0" fontId="44" fillId="24" borderId="0" xfId="59" applyFont="1" applyFill="1" applyProtection="1">
      <alignment/>
      <protection/>
    </xf>
    <xf numFmtId="167" fontId="5" fillId="26" borderId="14" xfId="59" applyNumberFormat="1" applyFill="1" applyBorder="1" applyAlignment="1">
      <alignment horizontal="center"/>
      <protection/>
    </xf>
    <xf numFmtId="167" fontId="5" fillId="26" borderId="0" xfId="59" applyNumberFormat="1" applyFill="1" applyBorder="1" applyAlignment="1">
      <alignment horizontal="center"/>
      <protection/>
    </xf>
    <xf numFmtId="5" fontId="36" fillId="26" borderId="43" xfId="59" applyNumberFormat="1" applyFont="1" applyFill="1" applyBorder="1" applyAlignment="1" applyProtection="1">
      <alignment horizontal="center"/>
      <protection/>
    </xf>
    <xf numFmtId="0" fontId="0" fillId="26" borderId="0" xfId="59" applyFont="1" applyFill="1" applyAlignment="1" applyProtection="1">
      <alignment horizontal="left" indent="1"/>
      <protection/>
    </xf>
    <xf numFmtId="0" fontId="0" fillId="26" borderId="0" xfId="59" applyFont="1" applyFill="1" applyProtection="1">
      <alignment/>
      <protection/>
    </xf>
    <xf numFmtId="0" fontId="0" fillId="26" borderId="0" xfId="59" applyFont="1" applyFill="1" applyBorder="1" applyProtection="1">
      <alignment/>
      <protection/>
    </xf>
    <xf numFmtId="167" fontId="0" fillId="26" borderId="0" xfId="59" applyNumberFormat="1" applyFont="1" applyFill="1" applyProtection="1">
      <alignment/>
      <protection/>
    </xf>
    <xf numFmtId="167" fontId="0" fillId="26" borderId="0" xfId="59" applyNumberFormat="1" applyFont="1" applyFill="1" applyBorder="1" applyProtection="1">
      <alignment/>
      <protection/>
    </xf>
    <xf numFmtId="167" fontId="0" fillId="26" borderId="0" xfId="59" applyNumberFormat="1" applyFont="1" applyFill="1" applyAlignment="1" applyProtection="1">
      <alignment horizontal="center" wrapText="1"/>
      <protection/>
    </xf>
    <xf numFmtId="167" fontId="0" fillId="26" borderId="0" xfId="59" applyNumberFormat="1" applyFont="1" applyFill="1" applyBorder="1" applyAlignment="1" applyProtection="1">
      <alignment horizontal="center" wrapText="1"/>
      <protection/>
    </xf>
    <xf numFmtId="0" fontId="0" fillId="26" borderId="0" xfId="59" applyFont="1" applyFill="1" applyAlignment="1" applyProtection="1">
      <alignment horizontal="left" indent="3"/>
      <protection/>
    </xf>
    <xf numFmtId="0" fontId="5" fillId="26" borderId="33" xfId="0" applyFont="1" applyFill="1" applyBorder="1" applyAlignment="1">
      <alignment/>
    </xf>
    <xf numFmtId="167" fontId="5" fillId="26" borderId="33" xfId="0" applyNumberFormat="1" applyFont="1" applyFill="1" applyBorder="1" applyAlignment="1">
      <alignment/>
    </xf>
    <xf numFmtId="0" fontId="5" fillId="26" borderId="33" xfId="0" applyFont="1" applyFill="1" applyBorder="1" applyAlignment="1">
      <alignment horizontal="center"/>
    </xf>
    <xf numFmtId="167" fontId="5" fillId="26" borderId="33" xfId="0" applyNumberFormat="1" applyFont="1" applyFill="1" applyBorder="1" applyAlignment="1">
      <alignment horizontal="center"/>
    </xf>
    <xf numFmtId="0" fontId="5" fillId="26" borderId="0" xfId="0" applyFont="1" applyFill="1" applyBorder="1" applyAlignment="1">
      <alignment/>
    </xf>
    <xf numFmtId="0" fontId="5" fillId="26" borderId="0" xfId="0" applyFont="1" applyFill="1" applyBorder="1" applyAlignment="1">
      <alignment horizontal="center"/>
    </xf>
    <xf numFmtId="167" fontId="5" fillId="26" borderId="0" xfId="0" applyNumberFormat="1" applyFont="1" applyFill="1" applyBorder="1" applyAlignment="1">
      <alignment horizontal="center"/>
    </xf>
    <xf numFmtId="0" fontId="5" fillId="26" borderId="0" xfId="0" applyFont="1" applyFill="1" applyBorder="1" applyAlignment="1">
      <alignment horizontal="right"/>
    </xf>
    <xf numFmtId="167" fontId="5" fillId="26" borderId="0" xfId="0" applyNumberFormat="1" applyFont="1" applyFill="1" applyBorder="1" applyAlignment="1">
      <alignment/>
    </xf>
    <xf numFmtId="0" fontId="5" fillId="26" borderId="0" xfId="59" applyFill="1" applyBorder="1" applyAlignment="1">
      <alignment horizontal="center"/>
      <protection/>
    </xf>
    <xf numFmtId="167" fontId="9" fillId="26" borderId="0" xfId="0" applyNumberFormat="1" applyFont="1" applyFill="1" applyBorder="1" applyAlignment="1">
      <alignment horizontal="center"/>
    </xf>
    <xf numFmtId="8" fontId="5" fillId="0" borderId="33" xfId="59" applyNumberFormat="1" applyBorder="1" applyAlignment="1">
      <alignment horizontal="center"/>
      <protection/>
    </xf>
    <xf numFmtId="8" fontId="5" fillId="0" borderId="0" xfId="59" applyNumberFormat="1" applyBorder="1" applyAlignment="1">
      <alignment horizontal="center"/>
      <protection/>
    </xf>
    <xf numFmtId="164" fontId="9" fillId="4" borderId="17" xfId="59" applyNumberFormat="1" applyFont="1" applyFill="1" applyBorder="1" applyAlignment="1">
      <alignment horizontal="centerContinuous"/>
      <protection/>
    </xf>
    <xf numFmtId="167" fontId="5" fillId="0" borderId="21" xfId="59" applyNumberFormat="1" applyBorder="1">
      <alignment/>
      <protection/>
    </xf>
    <xf numFmtId="167" fontId="5" fillId="0" borderId="25" xfId="59" applyNumberFormat="1" applyBorder="1">
      <alignment/>
      <protection/>
    </xf>
    <xf numFmtId="0" fontId="5" fillId="0" borderId="25" xfId="59" applyBorder="1">
      <alignment/>
      <protection/>
    </xf>
    <xf numFmtId="0" fontId="5" fillId="0" borderId="29" xfId="59" applyBorder="1">
      <alignment/>
      <protection/>
    </xf>
    <xf numFmtId="5" fontId="36" fillId="24" borderId="0" xfId="59" applyNumberFormat="1" applyFont="1" applyFill="1" applyAlignment="1" applyProtection="1">
      <alignment horizontal="left"/>
      <protection/>
    </xf>
    <xf numFmtId="0" fontId="47" fillId="0" borderId="0" xfId="59" applyFont="1" applyBorder="1">
      <alignment/>
      <protection/>
    </xf>
    <xf numFmtId="0" fontId="0" fillId="24" borderId="46" xfId="59" applyFont="1" applyFill="1" applyBorder="1" applyAlignment="1" applyProtection="1">
      <alignment horizontal="left" wrapText="1" indent="1"/>
      <protection/>
    </xf>
    <xf numFmtId="0" fontId="0" fillId="24" borderId="46" xfId="0" applyFont="1" applyFill="1" applyBorder="1" applyAlignment="1" applyProtection="1">
      <alignment horizontal="left" wrapText="1" indent="1"/>
      <protection/>
    </xf>
    <xf numFmtId="0" fontId="0" fillId="24" borderId="0" xfId="59" applyFont="1" applyFill="1" applyBorder="1" applyAlignment="1" applyProtection="1">
      <alignment wrapText="1"/>
      <protection/>
    </xf>
    <xf numFmtId="0" fontId="0" fillId="24" borderId="0" xfId="0" applyFont="1" applyFill="1" applyAlignment="1" applyProtection="1">
      <alignment wrapText="1"/>
      <protection/>
    </xf>
    <xf numFmtId="0" fontId="35" fillId="24" borderId="43" xfId="59" applyFont="1" applyFill="1" applyBorder="1" applyAlignment="1" applyProtection="1">
      <alignment horizontal="center"/>
      <protection/>
    </xf>
  </cellXfs>
  <cellStyles count="54">
    <cellStyle name="Normal" xfId="0"/>
    <cellStyle name="0.0%" xfId="15"/>
    <cellStyle name="0.0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1'09 Itron - HC Calculator Advanced II" xfId="59"/>
    <cellStyle name="Normal_Renewal Templates" xfId="60"/>
    <cellStyle name="Note" xfId="61"/>
    <cellStyle name="Output" xfId="62"/>
    <cellStyle name="Percent" xfId="63"/>
    <cellStyle name="Title" xfId="64"/>
    <cellStyle name="Total" xfId="65"/>
    <cellStyle name="Warning Text" xfId="66"/>
    <cellStyle name="We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udtoday/UW\Policy\Templates\Benelist%20Merit%2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HI%20DATA"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M2%20revised%20mode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m2_server1\users\PM2\Public\CLIENTS\Mt%20Sinai\Medicare%20Pricing%20Mode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ReportingToo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Dave'sToolKit\Dave's%20Tool%20Kit\PricingModeMay2,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Dave'sToolKit\Dave's%20Tool%20Kit\PricingModeMay1,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h:\My%20Documents\PricingModelWithZApril11March29,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PricingModelApril11,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pudtoday/Documents%20and%20Settings\p958tn\Local%20Settings\Temporary%20Internet%20Files\OLK91\p958wd_PerfSum_060798542_17NOV05_10_06_45.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pudtoday/DOCUME~1\Tobe\LOCALS~1\Temp\CSHQA\TechData\Renewal\2002\2002rnwlcal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udtoday/TOOLS\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pudtoday/DOCUME~1\Tobe\LOCALS~1\Temp\Michaels\TechData\renewal\2003\Michaels2003rnwlcalc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pudtoday/DOCUME~1\Tobe\LOCALS~1\Temp\CSHQA\TechData\Monthly\CSHQAExpRp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http://pudtoday/DOCUME~1\Tobe\LOCALS~1\Temp\American%20Ecology\Tech%20Data\Monthly\AmEcologyExpRpt.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http://pudtoday/DOCUME~1\Tobe\LOCALS~1\Temp\UNDERWRT\COMAREA\EXCEL\1RATE\ASC_REN\CONFLOOR\99RENEWL\CONFLW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I:\UNDERWRT\COMAREA\EXCEL\ASC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h:\My%20Documents\PricingModeDec19,200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http://pudtoday/DOCUME~1\Tobe\LOCALS~1\Temp\Dave'sToolKit\Dave's%20Tool%20Kit\PricingModeMay1,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udtoday/any\jeffz\wenmed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udtoday/Bus_Unit\Benefits\Clients\Sterling%20Savings\Financial%20Reports\Utilization%20Reports\Sterling%20Utilization%201'00-12'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udtoday/benefits\Clients\Diocese%20of%20Spokane\Financial%20Reports\diodnt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udtoday/Bus_Unit\Benefits\Clients\Spokane%20SD%20#81\Financial%20Reports\Utilization%20Reports\Utilization%20Report-%20SD%20Dist%2081%205'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us_Unit\Benegrp\lggroup\ExtendedSystems\TechData\monthrpt\ESIexperiencedata_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pudtoday/Bus_Unit\Benefits\Clients\PSEW%20North%20-%20Dominican\Financial%20Reports\Annual%20Renewal\PSEW%201'03%20Stop%20Loss%20Mktg%20RF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pudtoday/Bus_Unit\Benefits\Clients\World%20Wide%20Packets\Financial%20Reports\Experience%20Reports\domdnt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Lookup"/>
      <sheetName val="TrendFac"/>
      <sheetName val="PublicRBS"/>
      <sheetName val="RBSbene"/>
      <sheetName val="BasePlan"/>
      <sheetName val="Development"/>
    </sheetNames>
    <sheetDataSet>
      <sheetData sheetId="1">
        <row r="5">
          <cell r="B5" t="str">
            <v>DPS</v>
          </cell>
          <cell r="C5">
            <v>0.2</v>
          </cell>
        </row>
        <row r="6">
          <cell r="B6" t="str">
            <v>Par</v>
          </cell>
          <cell r="C6">
            <v>0.1</v>
          </cell>
        </row>
        <row r="7">
          <cell r="B7" t="str">
            <v>POS</v>
          </cell>
          <cell r="C7">
            <v>0.1</v>
          </cell>
        </row>
        <row r="8">
          <cell r="B8" t="str">
            <v>PPO</v>
          </cell>
          <cell r="C8">
            <v>0.1</v>
          </cell>
        </row>
        <row r="9">
          <cell r="B9" t="str">
            <v>Vision</v>
          </cell>
          <cell r="C9">
            <v>0.02</v>
          </cell>
        </row>
        <row r="24">
          <cell r="H24" t="str">
            <v>B</v>
          </cell>
          <cell r="I24">
            <v>1</v>
          </cell>
        </row>
        <row r="25">
          <cell r="H25" t="str">
            <v>R</v>
          </cell>
          <cell r="I25">
            <v>1.075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HI DAT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puts"/>
      <sheetName val="Membership"/>
      <sheetName val="Employer Census"/>
      <sheetName val="Rate Calculation"/>
      <sheetName val="AgeSex Facs"/>
      <sheetName val="AgeSex Facs (2)"/>
    </sheetNames>
    <sheetDataSet>
      <sheetData sheetId="0">
        <row r="8">
          <cell r="D8" t="str">
            <v>Stryker</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emplate"/>
      <sheetName val="Data"/>
      <sheetName val="Rx"/>
      <sheetName val="mem"/>
    </sheetNames>
    <sheetDataSet>
      <sheetData sheetId="2">
        <row r="1">
          <cell r="A1">
            <v>4</v>
          </cell>
        </row>
        <row r="4">
          <cell r="A4" t="str">
            <v>15/15/400</v>
          </cell>
        </row>
        <row r="5">
          <cell r="A5" t="str">
            <v>12/12/1000</v>
          </cell>
        </row>
        <row r="6">
          <cell r="A6" t="str">
            <v>7/15/1000</v>
          </cell>
        </row>
        <row r="7">
          <cell r="A7" t="str">
            <v>12/12/2000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inting &amp; Formatting Macros"/>
      <sheetName val="General Macros"/>
      <sheetName val="Chart1"/>
      <sheetName val="Input Sheet"/>
      <sheetName val="Pure Premiums"/>
      <sheetName val="Cost per Case"/>
      <sheetName val="Cases_Mem_Cont"/>
      <sheetName val="Loss Ratios"/>
      <sheetName val="Exposure"/>
      <sheetName val="Cases &amp; Services"/>
      <sheetName val="Claims"/>
      <sheetName val="SummExpInc"/>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3">
        <row r="25">
          <cell r="C25">
            <v>11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odule"/>
      <sheetName val="Sheet1"/>
      <sheetName val="ClaimDist"/>
      <sheetName val="PurePremiumDist"/>
      <sheetName val="Sheet2"/>
      <sheetName val="Input"/>
      <sheetName val="Simulation"/>
      <sheetName val="Sheet3"/>
      <sheetName val="ClaimsDx"/>
      <sheetName val="BinomialDx"/>
      <sheetName val="GraphSim_Exp"/>
      <sheetName val="GraphBenRatios"/>
      <sheetName val="SavingsBarChart"/>
    </sheetNames>
    <sheetDataSet>
      <sheetData sheetId="2">
        <row r="1">
          <cell r="A1">
            <v>4388.520899718839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odule"/>
      <sheetName val="Sheet1"/>
      <sheetName val="PurePremiumDist"/>
      <sheetName val="Sheet2"/>
      <sheetName val="ClaimDist"/>
      <sheetName val="Input"/>
      <sheetName val="Simulation"/>
      <sheetName val="Sheet3"/>
      <sheetName val="ClaimsDx"/>
      <sheetName val="BinomialDx"/>
      <sheetName val="GraphSim_Exp"/>
      <sheetName val="GraphBenRatios"/>
    </sheetNames>
    <sheetDataSet>
      <sheetData sheetId="5">
        <row r="7">
          <cell r="G7">
            <v>0.25</v>
          </cell>
        </row>
        <row r="16">
          <cell r="G16">
            <v>0</v>
          </cell>
          <cell r="H16">
            <v>0.3</v>
          </cell>
        </row>
        <row r="17">
          <cell r="D17">
            <v>0.33</v>
          </cell>
          <cell r="E17">
            <v>0.23</v>
          </cell>
          <cell r="F17">
            <v>0.44</v>
          </cell>
        </row>
        <row r="18">
          <cell r="D18">
            <v>1000</v>
          </cell>
          <cell r="E18">
            <v>2000</v>
          </cell>
          <cell r="F18">
            <v>2000</v>
          </cell>
        </row>
        <row r="19">
          <cell r="F19" t="b">
            <v>0</v>
          </cell>
        </row>
        <row r="20">
          <cell r="D20">
            <v>0.2</v>
          </cell>
        </row>
        <row r="21">
          <cell r="D21">
            <v>1000000</v>
          </cell>
          <cell r="E21">
            <v>2000000</v>
          </cell>
          <cell r="F21">
            <v>2000000</v>
          </cell>
        </row>
        <row r="25">
          <cell r="B25">
            <v>500000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odule"/>
      <sheetName val="ClaimDist"/>
      <sheetName val="PurePremiumDist"/>
      <sheetName val="Input"/>
      <sheetName val="Simulation"/>
      <sheetName val="Chart1"/>
      <sheetName val="GraphSim_Exp"/>
      <sheetName val="GraphBenRatios"/>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3">
        <row r="6">
          <cell r="C6">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Module"/>
      <sheetName val="Sheet1"/>
      <sheetName val="ClaimDist"/>
      <sheetName val="PurePremiumDist"/>
      <sheetName val="Input"/>
      <sheetName val="Simulation"/>
      <sheetName val="BinomialDx"/>
      <sheetName val="GraphSim_Exp"/>
      <sheetName val="GraphBenRatios"/>
    </sheetNames>
    <sheetDataSet>
      <sheetData sheetId="4">
        <row r="16">
          <cell r="H16">
            <v>0.3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owerPoint Control"/>
      <sheetName val="Constraints"/>
      <sheetName val="Cover"/>
      <sheetName val="Executive Summary"/>
      <sheetName val="Plan Topline Report"/>
      <sheetName val="Plan Costs"/>
      <sheetName val="Cost Drivers"/>
      <sheetName val="Utilization"/>
      <sheetName val="Generic Substitution"/>
      <sheetName val="Exec Summ Detail"/>
      <sheetName val="Utilization Increases"/>
      <sheetName val="Plan Demographics"/>
      <sheetName val="Demographic Analysis"/>
      <sheetName val="Cost Share"/>
      <sheetName val="Mail Service"/>
      <sheetName val="Group Summary Report"/>
      <sheetName val="CIQ Overview"/>
      <sheetName val="Co-Pay"/>
      <sheetName val="Copay Model Guide"/>
      <sheetName val="Copay Summary"/>
      <sheetName val="Summ"/>
      <sheetName val="Top Drugs"/>
      <sheetName val="Top Drugs Retail"/>
      <sheetName val="Top Drugs Mail"/>
      <sheetName val="Glossary of Terms"/>
      <sheetName val="Clinical Input"/>
      <sheetName val="Errors"/>
      <sheetName val="Benefit Modeling"/>
      <sheetName val="Summary1"/>
      <sheetName val="Summary2"/>
      <sheetName val="Summary3"/>
      <sheetName val="MG_MAC"/>
      <sheetName val="Overview Input"/>
      <sheetName val="Multisource Tier"/>
      <sheetName val="Incentive Formulary Tier"/>
      <sheetName val="Refill Limits"/>
      <sheetName val="Refill Limits1"/>
      <sheetName val="Refill Limits2"/>
      <sheetName val="Refill Limits3"/>
      <sheetName val="HD Incentive Option"/>
      <sheetName val="HD Incentive Option1"/>
      <sheetName val="HD Incentive Option2"/>
      <sheetName val="HD Incentive Option3"/>
      <sheetName val="Copay Input Data"/>
      <sheetName val="Days Supply Limits"/>
      <sheetName val="Deductible_data"/>
      <sheetName val="Deductible_data2"/>
      <sheetName val="RawData"/>
      <sheetName val="Raw Inputs"/>
    </sheetNames>
    <sheetDataSet>
      <sheetData sheetId="3">
        <row r="17">
          <cell r="A17" t="str">
            <v>•</v>
          </cell>
          <cell r="B17" t="str">
            <v>The average cost per Rx, taking into account discounts, dispensing fees and member cost share was $52.89. New drugs, changing physician prescribing, and increased consumer awareness have contributed toward the overall rise in drug costs</v>
          </cell>
        </row>
        <row r="18">
          <cell r="A18" t="str">
            <v>•</v>
          </cell>
          <cell r="B18" t="str">
            <v>Member contributions to the benefit program amounted to 26.3% of the total program cost</v>
          </cell>
        </row>
        <row r="19">
          <cell r="A19" t="str">
            <v>•</v>
          </cell>
          <cell r="B19" t="str">
            <v>The average number of Retail Equivalent Rxs per eligible was 7.7. Mail use, as a percentage of total Rxs was 3.3%</v>
          </cell>
        </row>
        <row r="20">
          <cell r="A20" t="str">
            <v>•</v>
          </cell>
          <cell r="B20" t="str">
            <v>The increased use of drugs in a small number of categories is driving a significant portion of overall drug costs. The top ten drugs accounted for 45.7% of total drug costs</v>
          </cell>
        </row>
        <row r="24">
          <cell r="A24" t="str">
            <v>•</v>
          </cell>
          <cell r="B24" t="str">
            <v>The 2004 average for Systemed's total client base was 93.4%</v>
          </cell>
        </row>
        <row r="25">
          <cell r="A25" t="str">
            <v>•</v>
          </cell>
          <cell r="B25" t="str">
            <v>The overall generic rate for the plan, or the % of all prescriptions filled as generics, was 52.6%</v>
          </cell>
        </row>
        <row r="32">
          <cell r="A32" t="str">
            <v>•</v>
          </cell>
          <cell r="B32" t="str">
            <v>Reviewing the plan's drug coverage selection could yield significant savings through drug exclusions, higher co-pays and dispensing limits on specific drugs, or limiting certain high cost drugs to mail service only</v>
          </cell>
        </row>
        <row r="33">
          <cell r="A33" t="str">
            <v>•</v>
          </cell>
          <cell r="B33" t="str">
            <v>Implementing a mandatory generics program where members are required to pay the difference between high cost branded and generic drugs can help to insulate the plan from the higher costs associated with expensive multi source drugs</v>
          </cell>
        </row>
        <row r="34">
          <cell r="A34" t="str">
            <v/>
          </cell>
          <cell r="B34" t="str">
            <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riables Input Sheet"/>
      <sheetName val="Rnwl Calcs $35,000 ISL"/>
      <sheetName val="Plan Options $35,000 ISL"/>
      <sheetName val="2002 Proposed Rates"/>
      <sheetName val="01-02 EECostShare w SQ Rates"/>
      <sheetName val="01-02 EECostShare w Resloping"/>
      <sheetName val="CSHQA 2002 Exp Rates"/>
      <sheetName val="2001Dec12ABSCensus"/>
      <sheetName val="Dental Rates"/>
      <sheetName val="RBSI FI Proposal"/>
    </sheetNames>
    <sheetDataSet>
      <sheetData sheetId="2">
        <row r="1">
          <cell r="A1" t="str">
            <v>CSHQA</v>
          </cell>
        </row>
        <row r="2">
          <cell r="A2" t="str">
            <v>January 1, 2002 Renewal - Plan Design Options</v>
          </cell>
        </row>
        <row r="3">
          <cell r="A3" t="str">
            <v>Budgeted Premium Equivalent (Funding) Projections</v>
          </cell>
        </row>
        <row r="4">
          <cell r="A4" t="str">
            <v>Based Upon $35,000 Individual Stop Loss (ISL) Deductible</v>
          </cell>
        </row>
        <row r="5">
          <cell r="A5" t="str">
            <v>Experience Period: November 1, 1999 through October 31, 2001</v>
          </cell>
        </row>
        <row r="10">
          <cell r="A10" t="str">
            <v>Current Composite Funding Rate (PEPM)</v>
          </cell>
        </row>
        <row r="12">
          <cell r="A12" t="str">
            <v>Projected Composite Funding Rate (PEPM)</v>
          </cell>
        </row>
        <row r="14">
          <cell r="A14" t="str">
            <v>Rate Change (%)</v>
          </cell>
        </row>
        <row r="16">
          <cell r="A16" t="str">
            <v>Proposed Plan Design Changes: % Impact upon Composite (Total) Funding</v>
          </cell>
        </row>
        <row r="18">
          <cell r="A18" t="str">
            <v>Option I. Increase OOP from $1,000 to $2,000</v>
          </cell>
        </row>
        <row r="19">
          <cell r="A19" t="str">
            <v>(3.3% reduction to medical claims)</v>
          </cell>
        </row>
        <row r="20">
          <cell r="A20" t="str">
            <v>Option II.a. Increase medical plan individual deductible from $200 to $350</v>
          </cell>
        </row>
        <row r="21">
          <cell r="A21" t="str">
            <v>(3.7% reduction in medical claims)</v>
          </cell>
        </row>
        <row r="22">
          <cell r="A22" t="str">
            <v>Option II.b. Increase medical plan individual deductible from $200 to $500</v>
          </cell>
        </row>
        <row r="23">
          <cell r="A23" t="str">
            <v>(6.8% reduction in medical claims)</v>
          </cell>
        </row>
        <row r="24">
          <cell r="A24" t="str">
            <v>Option III:  Change Rx benefit from {$6 G / $16 B} to {10% G up to $10 max / 20% B up to $25 max}</v>
          </cell>
        </row>
        <row r="25">
          <cell r="A25" t="str">
            <v>(15.0% reduction in prescription drug claims)</v>
          </cell>
        </row>
        <row r="26">
          <cell r="A26" t="str">
            <v>Option IV:  N/A</v>
          </cell>
        </row>
        <row r="27">
          <cell r="A27" t="str">
            <v>(0.0% change to claims)</v>
          </cell>
        </row>
        <row r="28">
          <cell r="A28" t="str">
            <v>Option V:  N/A</v>
          </cell>
        </row>
        <row r="29">
          <cell r="A29" t="str">
            <v>(0.0% change to claims)</v>
          </cell>
        </row>
        <row r="30">
          <cell r="A30" t="str">
            <v>Option VI:  N/A</v>
          </cell>
        </row>
        <row r="31">
          <cell r="A31" t="str">
            <v>(0.0% change to claims)</v>
          </cell>
        </row>
        <row r="33">
          <cell r="A33" t="str">
            <v>Total Net Change to Projected Funding Rates (Options I, II.a., and III)</v>
          </cell>
        </row>
        <row r="35">
          <cell r="A35" t="str">
            <v>Projected Composite Funding Rate (PEPM) (Options I, II.a., and III)</v>
          </cell>
        </row>
        <row r="37">
          <cell r="A37" t="str">
            <v>Rate Change (%) (Options I, II.a., and III)</v>
          </cell>
        </row>
        <row r="39">
          <cell r="A39" t="str">
            <v>Total Net Change to Projected Funding Rates (Options I, II.b., and III)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creen"/>
      <sheetName val="Output"/>
      <sheetName val="Tables"/>
    </sheetNames>
    <sheetDataSet>
      <sheetData sheetId="2">
        <row r="8">
          <cell r="B8">
            <v>35431</v>
          </cell>
          <cell r="C8">
            <v>35521</v>
          </cell>
          <cell r="D8">
            <v>35612</v>
          </cell>
          <cell r="E8">
            <v>35704</v>
          </cell>
          <cell r="F8">
            <v>35796</v>
          </cell>
        </row>
        <row r="10">
          <cell r="B10">
            <v>4.1327903661</v>
          </cell>
          <cell r="C10">
            <v>4.19572626</v>
          </cell>
          <cell r="D10">
            <v>4.25913774</v>
          </cell>
          <cell r="E10">
            <v>4.323024806099999</v>
          </cell>
          <cell r="F10">
            <v>4.387870178191499</v>
          </cell>
        </row>
        <row r="11">
          <cell r="B11">
            <v>4.0299846356</v>
          </cell>
          <cell r="C11">
            <v>4.09135496</v>
          </cell>
          <cell r="D11">
            <v>4.153189040000001</v>
          </cell>
          <cell r="E11">
            <v>4.215486875600001</v>
          </cell>
          <cell r="F11">
            <v>4.278719178734001</v>
          </cell>
        </row>
        <row r="47">
          <cell r="A47">
            <v>0</v>
          </cell>
          <cell r="B47">
            <v>10.115571094384833</v>
          </cell>
          <cell r="C47">
            <v>2.842104263903996</v>
          </cell>
          <cell r="D47">
            <v>0.013</v>
          </cell>
        </row>
        <row r="48">
          <cell r="A48">
            <v>100</v>
          </cell>
          <cell r="B48">
            <v>9.19597372216803</v>
          </cell>
          <cell r="C48">
            <v>2.583731149003633</v>
          </cell>
          <cell r="D48">
            <v>0.0095</v>
          </cell>
        </row>
        <row r="49">
          <cell r="A49">
            <v>150</v>
          </cell>
          <cell r="B49">
            <v>8.359976111061846</v>
          </cell>
          <cell r="C49">
            <v>2.3488464990942117</v>
          </cell>
          <cell r="D49">
            <v>0.0065</v>
          </cell>
        </row>
        <row r="50">
          <cell r="A50">
            <v>250</v>
          </cell>
          <cell r="B50">
            <v>7.523978499955661</v>
          </cell>
          <cell r="C50">
            <v>2.1139618491847907</v>
          </cell>
          <cell r="D50">
            <v>0.0045</v>
          </cell>
        </row>
        <row r="51">
          <cell r="A51">
            <v>500</v>
          </cell>
          <cell r="B51">
            <v>6.771580649960096</v>
          </cell>
          <cell r="C51">
            <v>1.9025656642663116</v>
          </cell>
          <cell r="D51">
            <v>0.0035</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03Bdgt@$75KISL"/>
      <sheetName val="2003 Rates"/>
      <sheetName val="2003 Large Claims Distribution"/>
      <sheetName val="Large Claim Dat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CI Billing Codes"/>
      <sheetName val="CSDIDATA2003"/>
      <sheetName val="CSHQADATA2003"/>
      <sheetName val="Run-OutData"/>
      <sheetName val="Reports Medical_Rx"/>
      <sheetName val="Reports Dental"/>
      <sheetName val="Reports Run-Out"/>
      <sheetName val="Chart"/>
      <sheetName val="Reports"/>
      <sheetName val="2002 Agg Position"/>
      <sheetName val="Rolling 24"/>
      <sheetName val="plan cost pepm"/>
      <sheetName val="Stoploss History"/>
      <sheetName val="Plan Utilization_2001 Chart"/>
      <sheetName val="Plan Utilization_2002 Chart"/>
      <sheetName val="Sheet2"/>
      <sheetName val="Sheet1"/>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a"/>
      <sheetName val="Sheet2"/>
      <sheetName val="Sheet1"/>
      <sheetName val="Reports"/>
      <sheetName val="2003 Agg Position"/>
      <sheetName val="2002 Agg Position"/>
      <sheetName val="2001Agg Position"/>
      <sheetName val="Stoploss History"/>
      <sheetName val="2003 Large Claims Distribution"/>
      <sheetName val="Large Claim Data"/>
      <sheetName val="Large Claim Report"/>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ase"/>
      <sheetName val="rate sheet inc"/>
      <sheetName val="Summary"/>
      <sheetName val="rate sheet paid"/>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SC1"/>
    </sheetNames>
    <definedNames>
      <definedName name="Macro8"/>
    </defined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odule"/>
      <sheetName val="Sheet1"/>
      <sheetName val="ClaimDist"/>
      <sheetName val="PurePremiumDist"/>
      <sheetName val="Input"/>
      <sheetName val="Input (2)"/>
      <sheetName val="Sheet1 (2)"/>
      <sheetName val="Simulation"/>
      <sheetName val="Sheet2"/>
      <sheetName val="Sheet3"/>
      <sheetName val="BinomialDx"/>
      <sheetName val="GraphSim_Exp"/>
      <sheetName val="GraphBenRatios"/>
    </sheetNames>
    <sheetDataSet>
      <sheetData sheetId="3">
        <row r="2">
          <cell r="L2" t="str">
            <v>Exp. # in</v>
          </cell>
        </row>
        <row r="3">
          <cell r="I3" t="str">
            <v>Expected</v>
          </cell>
          <cell r="J3" t="str">
            <v>Pure Premium</v>
          </cell>
          <cell r="K3" t="str">
            <v>Cumulative</v>
          </cell>
          <cell r="L3" t="str">
            <v>Group</v>
          </cell>
        </row>
        <row r="4">
          <cell r="H4" t="str">
            <v>Claimant Size</v>
          </cell>
          <cell r="I4" t="str">
            <v>% of contracts</v>
          </cell>
          <cell r="J4" t="str">
            <v>Per Contract</v>
          </cell>
          <cell r="K4" t="str">
            <v>Per Contract</v>
          </cell>
          <cell r="L4" t="str">
            <v>that should fall</v>
          </cell>
        </row>
        <row r="5">
          <cell r="H5" t="str">
            <v>Range</v>
          </cell>
          <cell r="I5" t="str">
            <v>in range</v>
          </cell>
          <cell r="J5" t="str">
            <v>For Size Range</v>
          </cell>
          <cell r="K5" t="str">
            <v>Pure Premium</v>
          </cell>
          <cell r="L5" t="str">
            <v>within range</v>
          </cell>
        </row>
        <row r="6">
          <cell r="H6">
            <v>0</v>
          </cell>
          <cell r="I6">
            <v>0.199754</v>
          </cell>
          <cell r="J6">
            <v>0</v>
          </cell>
          <cell r="K6">
            <v>0</v>
          </cell>
          <cell r="L6">
            <v>99.877</v>
          </cell>
        </row>
        <row r="7">
          <cell r="H7" t="str">
            <v>0-0</v>
          </cell>
          <cell r="I7">
            <v>0.029754</v>
          </cell>
          <cell r="J7">
            <v>0</v>
          </cell>
          <cell r="K7">
            <v>0</v>
          </cell>
          <cell r="L7">
            <v>14.876999999999999</v>
          </cell>
        </row>
        <row r="8">
          <cell r="H8" t="str">
            <v>0-50</v>
          </cell>
          <cell r="I8">
            <v>0.033872</v>
          </cell>
          <cell r="J8">
            <v>0</v>
          </cell>
          <cell r="K8">
            <v>0</v>
          </cell>
          <cell r="L8">
            <v>16.936</v>
          </cell>
        </row>
        <row r="9">
          <cell r="H9" t="str">
            <v>50-100</v>
          </cell>
          <cell r="I9">
            <v>0.083979</v>
          </cell>
          <cell r="J9">
            <v>0</v>
          </cell>
          <cell r="K9">
            <v>0</v>
          </cell>
          <cell r="L9">
            <v>41.9895</v>
          </cell>
        </row>
        <row r="10">
          <cell r="H10" t="str">
            <v>100-250</v>
          </cell>
          <cell r="I10">
            <v>0.101046</v>
          </cell>
          <cell r="J10">
            <v>0</v>
          </cell>
          <cell r="K10">
            <v>0</v>
          </cell>
          <cell r="L10">
            <v>50.522999999999996</v>
          </cell>
        </row>
        <row r="11">
          <cell r="H11" t="str">
            <v>250-500</v>
          </cell>
          <cell r="I11">
            <v>0.073202</v>
          </cell>
          <cell r="J11">
            <v>0.7320199999999999</v>
          </cell>
          <cell r="K11">
            <v>0.7320199999999999</v>
          </cell>
          <cell r="L11">
            <v>36.601</v>
          </cell>
        </row>
        <row r="12">
          <cell r="H12" t="str">
            <v>500-750</v>
          </cell>
          <cell r="I12">
            <v>0.055549</v>
          </cell>
          <cell r="J12">
            <v>1.66647</v>
          </cell>
          <cell r="K12">
            <v>2.39849</v>
          </cell>
          <cell r="L12">
            <v>27.7745</v>
          </cell>
        </row>
        <row r="13">
          <cell r="H13" t="str">
            <v>750-1000</v>
          </cell>
          <cell r="I13">
            <v>0.130745</v>
          </cell>
          <cell r="J13">
            <v>18.304299999999998</v>
          </cell>
          <cell r="K13">
            <v>20.702789999999997</v>
          </cell>
          <cell r="L13">
            <v>65.3725</v>
          </cell>
        </row>
        <row r="14">
          <cell r="H14" t="str">
            <v>1000-2000</v>
          </cell>
          <cell r="I14">
            <v>0.06854</v>
          </cell>
          <cell r="J14">
            <v>6.853999999999998</v>
          </cell>
          <cell r="K14">
            <v>27.556789999999996</v>
          </cell>
          <cell r="L14">
            <v>34.27</v>
          </cell>
        </row>
        <row r="15">
          <cell r="H15" t="str">
            <v>2000-3000</v>
          </cell>
          <cell r="I15">
            <v>0.044892</v>
          </cell>
          <cell r="J15">
            <v>49.3812</v>
          </cell>
          <cell r="K15">
            <v>76.93799</v>
          </cell>
          <cell r="L15">
            <v>22.446</v>
          </cell>
        </row>
        <row r="16">
          <cell r="H16" t="str">
            <v>3000-4000</v>
          </cell>
          <cell r="I16">
            <v>0.034006</v>
          </cell>
          <cell r="J16">
            <v>71.4126</v>
          </cell>
          <cell r="K16">
            <v>148.35059</v>
          </cell>
          <cell r="L16">
            <v>17.003</v>
          </cell>
        </row>
        <row r="17">
          <cell r="H17" t="str">
            <v>4000-5000</v>
          </cell>
          <cell r="I17">
            <v>0.046073</v>
          </cell>
          <cell r="J17">
            <v>165.86280000000002</v>
          </cell>
          <cell r="K17">
            <v>314.21339</v>
          </cell>
          <cell r="L17">
            <v>23.0365</v>
          </cell>
        </row>
        <row r="18">
          <cell r="H18" t="str">
            <v>5000-7000</v>
          </cell>
          <cell r="I18">
            <v>0.038597</v>
          </cell>
          <cell r="J18">
            <v>235.4417</v>
          </cell>
          <cell r="K18">
            <v>549.65509</v>
          </cell>
          <cell r="L18">
            <v>19.2985</v>
          </cell>
        </row>
        <row r="19">
          <cell r="H19" t="str">
            <v>7000-10000</v>
          </cell>
          <cell r="I19">
            <v>0.038512</v>
          </cell>
          <cell r="J19">
            <v>485.2512</v>
          </cell>
          <cell r="K19">
            <v>1034.90629</v>
          </cell>
          <cell r="L19">
            <v>19.256</v>
          </cell>
        </row>
        <row r="20">
          <cell r="H20" t="str">
            <v>10000-20000</v>
          </cell>
          <cell r="I20">
            <v>0.010139</v>
          </cell>
          <cell r="J20">
            <v>229.1414</v>
          </cell>
          <cell r="K20">
            <v>1264.0476899999999</v>
          </cell>
          <cell r="L20">
            <v>5.069500000000001</v>
          </cell>
        </row>
        <row r="21">
          <cell r="H21" t="str">
            <v>20000-30000</v>
          </cell>
          <cell r="I21">
            <v>0.004511</v>
          </cell>
          <cell r="J21">
            <v>147.0586</v>
          </cell>
          <cell r="K21">
            <v>1411.10629</v>
          </cell>
          <cell r="L21">
            <v>2.2555</v>
          </cell>
        </row>
        <row r="22">
          <cell r="H22" t="str">
            <v>30000-40000</v>
          </cell>
          <cell r="I22">
            <v>0.00252</v>
          </cell>
          <cell r="J22">
            <v>107.352</v>
          </cell>
          <cell r="K22">
            <v>1518.45829</v>
          </cell>
          <cell r="L22">
            <v>1.26</v>
          </cell>
        </row>
        <row r="23">
          <cell r="H23" t="str">
            <v>40000-50000</v>
          </cell>
          <cell r="I23">
            <v>0.002581</v>
          </cell>
          <cell r="J23">
            <v>155.1181</v>
          </cell>
          <cell r="K23">
            <v>1673.57639</v>
          </cell>
          <cell r="L23">
            <v>1.2905</v>
          </cell>
        </row>
        <row r="24">
          <cell r="H24" t="str">
            <v>50000-75000</v>
          </cell>
          <cell r="I24">
            <v>0.000833</v>
          </cell>
          <cell r="J24">
            <v>70.8883</v>
          </cell>
          <cell r="K24">
            <v>1744.46469</v>
          </cell>
          <cell r="L24">
            <v>0.4165</v>
          </cell>
        </row>
        <row r="25">
          <cell r="H25" t="str">
            <v>75000-100000</v>
          </cell>
          <cell r="I25">
            <v>0.000563</v>
          </cell>
          <cell r="J25">
            <v>69.02380000000001</v>
          </cell>
          <cell r="K25">
            <v>1813.48849</v>
          </cell>
          <cell r="L25">
            <v>0.28150000000000003</v>
          </cell>
        </row>
        <row r="26">
          <cell r="H26" t="str">
            <v>100000-150000</v>
          </cell>
          <cell r="I26">
            <v>0.00018</v>
          </cell>
          <cell r="J26">
            <v>31.068</v>
          </cell>
          <cell r="K26">
            <v>1844.55649</v>
          </cell>
          <cell r="L26">
            <v>0.09000000000000001</v>
          </cell>
        </row>
        <row r="27">
          <cell r="H27" t="str">
            <v>150000-200000</v>
          </cell>
          <cell r="I27">
            <v>5.9E-05</v>
          </cell>
          <cell r="J27">
            <v>13.1334</v>
          </cell>
          <cell r="K27">
            <v>1857.6898899999999</v>
          </cell>
          <cell r="L27">
            <v>0.0295</v>
          </cell>
        </row>
        <row r="28">
          <cell r="H28" t="str">
            <v>200000-250000</v>
          </cell>
          <cell r="I28">
            <v>9.3E-05</v>
          </cell>
          <cell r="J28">
            <v>32.3268</v>
          </cell>
          <cell r="K28">
            <v>1890.01669</v>
          </cell>
          <cell r="L28">
            <v>0.0465</v>
          </cell>
        </row>
      </sheetData>
      <sheetData sheetId="4">
        <row r="11">
          <cell r="B11">
            <v>500</v>
          </cell>
        </row>
        <row r="12">
          <cell r="B12">
            <v>1000</v>
          </cell>
        </row>
        <row r="13">
          <cell r="B13">
            <v>5</v>
          </cell>
        </row>
        <row r="18">
          <cell r="B18" t="str">
            <v>Deductible</v>
          </cell>
          <cell r="D18">
            <v>500</v>
          </cell>
        </row>
        <row r="21">
          <cell r="B21" t="str">
            <v>Out of Pocket Maximum ($1M if None)</v>
          </cell>
        </row>
        <row r="23">
          <cell r="B23">
            <v>500000</v>
          </cell>
        </row>
        <row r="33">
          <cell r="E33">
            <v>1458349.225</v>
          </cell>
        </row>
        <row r="38">
          <cell r="E38">
            <v>945008.345</v>
          </cell>
        </row>
      </sheetData>
      <sheetData sheetId="7">
        <row r="2">
          <cell r="H2">
            <v>1000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odule"/>
      <sheetName val="Sheet1"/>
      <sheetName val="PurePremiumDist"/>
      <sheetName val="Sheet2"/>
      <sheetName val="ClaimDist"/>
      <sheetName val="Input"/>
      <sheetName val="Simulation"/>
      <sheetName val="Sheet3"/>
      <sheetName val="ClaimsDx"/>
      <sheetName val="BinomialDx"/>
      <sheetName val="GraphSim_Exp"/>
      <sheetName val="GraphBenRatios"/>
    </sheetNames>
    <sheetDataSet>
      <sheetData sheetId="5">
        <row r="7">
          <cell r="G7">
            <v>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b 95"/>
      <sheetName val="Feb 96"/>
      <sheetName val="Feb 97"/>
      <sheetName val="Feb 98"/>
      <sheetName val="Sept 98"/>
      <sheetName val="Feb 99"/>
      <sheetName val="Bid"/>
      <sheetName val="Archive"/>
      <sheetName val="End of Yr"/>
    </sheetNames>
    <sheetDataSet>
      <sheetData sheetId="0">
        <row r="3">
          <cell r="G3" t="str">
            <v>Combined Medical Plan Experience</v>
          </cell>
        </row>
        <row r="22">
          <cell r="B22" t="str">
            <v>Billed</v>
          </cell>
          <cell r="C22" t="str">
            <v>MSC</v>
          </cell>
          <cell r="D22" t="str">
            <v>Pooling</v>
          </cell>
          <cell r="E22" t="str">
            <v>Pooled </v>
          </cell>
          <cell r="F22" t="str">
            <v>Provider</v>
          </cell>
          <cell r="H22" t="str">
            <v>Net Paid</v>
          </cell>
          <cell r="I22" t="str">
            <v>Incurred</v>
          </cell>
          <cell r="J22" t="str">
            <v>Total</v>
          </cell>
          <cell r="K22" t="str">
            <v>Expense</v>
          </cell>
          <cell r="L22" t="str">
            <v>Gain/(Loss)</v>
          </cell>
          <cell r="M22" t="str">
            <v>Gain/(Loss)</v>
          </cell>
        </row>
        <row r="23">
          <cell r="B23" t="str">
            <v>Premium</v>
          </cell>
          <cell r="C23" t="str">
            <v>Admin</v>
          </cell>
          <cell r="D23" t="str">
            <v>Expense</v>
          </cell>
          <cell r="E23" t="str">
            <v>Claims</v>
          </cell>
          <cell r="F23" t="str">
            <v>Discounts</v>
          </cell>
          <cell r="H23" t="str">
            <v>Claims</v>
          </cell>
          <cell r="I23" t="str">
            <v>Claims</v>
          </cell>
          <cell r="J23" t="str">
            <v>Expenses</v>
          </cell>
          <cell r="K23" t="str">
            <v>Loss Ratio</v>
          </cell>
          <cell r="L23" t="str">
            <v>Monthly</v>
          </cell>
          <cell r="M23" t="str">
            <v>Contract</v>
          </cell>
        </row>
        <row r="26">
          <cell r="A26" t="str">
            <v>  Feb 95</v>
          </cell>
          <cell r="B26">
            <v>38449.72</v>
          </cell>
          <cell r="C26">
            <v>6717.41</v>
          </cell>
          <cell r="D26">
            <v>1537.99</v>
          </cell>
          <cell r="E26">
            <v>0</v>
          </cell>
          <cell r="F26">
            <v>13655.470000000001</v>
          </cell>
          <cell r="H26">
            <v>24334.41</v>
          </cell>
          <cell r="I26">
            <v>26236.93</v>
          </cell>
          <cell r="J26">
            <v>32954.340000000004</v>
          </cell>
          <cell r="K26">
            <v>0.857076202375466</v>
          </cell>
          <cell r="L26">
            <v>5495.379999999997</v>
          </cell>
          <cell r="M26">
            <v>-342338.43</v>
          </cell>
        </row>
        <row r="27">
          <cell r="A27" t="str">
            <v>  Mar</v>
          </cell>
          <cell r="B27">
            <v>37803.259999999995</v>
          </cell>
          <cell r="C27">
            <v>6604.290000000001</v>
          </cell>
          <cell r="D27">
            <v>1512.1299999999999</v>
          </cell>
          <cell r="E27">
            <v>0</v>
          </cell>
          <cell r="F27">
            <v>13899.119999999999</v>
          </cell>
          <cell r="H27">
            <v>19998.95</v>
          </cell>
          <cell r="I27">
            <v>21879.24</v>
          </cell>
          <cell r="J27">
            <v>28483.530000000002</v>
          </cell>
          <cell r="K27">
            <v>0.7534675580889058</v>
          </cell>
          <cell r="L27">
            <v>9319.729999999992</v>
          </cell>
          <cell r="M27">
            <v>-333018.7</v>
          </cell>
        </row>
        <row r="28">
          <cell r="A28" t="str">
            <v>  Apr</v>
          </cell>
          <cell r="B28">
            <v>37371.16000000001</v>
          </cell>
          <cell r="C28">
            <v>6528.659999999999</v>
          </cell>
          <cell r="D28">
            <v>1494.85</v>
          </cell>
          <cell r="E28">
            <v>0</v>
          </cell>
          <cell r="F28">
            <v>17789.760000000002</v>
          </cell>
          <cell r="H28">
            <v>25981.480000000003</v>
          </cell>
          <cell r="I28">
            <v>27848.170000000002</v>
          </cell>
          <cell r="J28">
            <v>34376.83</v>
          </cell>
          <cell r="K28">
            <v>0.9198759150103982</v>
          </cell>
          <cell r="L28">
            <v>2994.330000000009</v>
          </cell>
          <cell r="M28">
            <v>-330024.37</v>
          </cell>
        </row>
        <row r="29">
          <cell r="A29" t="str">
            <v>  May</v>
          </cell>
          <cell r="B29">
            <v>37004.19999999999</v>
          </cell>
          <cell r="C29">
            <v>6464.46</v>
          </cell>
          <cell r="D29">
            <v>1480.1699999999996</v>
          </cell>
          <cell r="E29">
            <v>0</v>
          </cell>
          <cell r="F29">
            <v>18983.31</v>
          </cell>
          <cell r="H29">
            <v>23191.939999999995</v>
          </cell>
          <cell r="I29">
            <v>25047.670000000002</v>
          </cell>
          <cell r="J29">
            <v>31512.13</v>
          </cell>
          <cell r="K29">
            <v>0.8515825230649496</v>
          </cell>
          <cell r="L29">
            <v>5492.069999999987</v>
          </cell>
          <cell r="M29">
            <v>-324532.3</v>
          </cell>
        </row>
        <row r="30">
          <cell r="A30" t="str">
            <v>  June</v>
          </cell>
          <cell r="B30">
            <v>37294.67000000001</v>
          </cell>
          <cell r="C30">
            <v>6516.420000000003</v>
          </cell>
          <cell r="D30">
            <v>1491.79</v>
          </cell>
          <cell r="E30">
            <v>0</v>
          </cell>
          <cell r="F30">
            <v>7387.17000000001</v>
          </cell>
          <cell r="H30">
            <v>21731.010000000002</v>
          </cell>
          <cell r="I30">
            <v>23602.120000000003</v>
          </cell>
          <cell r="J30">
            <v>30118.540000000005</v>
          </cell>
          <cell r="K30">
            <v>0.8075829602460618</v>
          </cell>
          <cell r="L30">
            <v>7176.130000000005</v>
          </cell>
          <cell r="M30">
            <v>-317356.17000000004</v>
          </cell>
        </row>
        <row r="31">
          <cell r="A31" t="str">
            <v>  July</v>
          </cell>
          <cell r="B31">
            <v>37421.19</v>
          </cell>
          <cell r="C31">
            <v>6538.579999999996</v>
          </cell>
          <cell r="D31">
            <v>1496.8499999999995</v>
          </cell>
          <cell r="E31">
            <v>0</v>
          </cell>
          <cell r="F31">
            <v>15724.969999999987</v>
          </cell>
          <cell r="H31">
            <v>22479.440000000002</v>
          </cell>
          <cell r="I31">
            <v>24359.4</v>
          </cell>
          <cell r="J31">
            <v>30897.979999999996</v>
          </cell>
          <cell r="K31">
            <v>0.8256813853327485</v>
          </cell>
          <cell r="L31">
            <v>6523.210000000002</v>
          </cell>
          <cell r="M31">
            <v>-310832.96</v>
          </cell>
        </row>
        <row r="32">
          <cell r="A32" t="str">
            <v>  Aug</v>
          </cell>
          <cell r="B32">
            <v>37850.79000000001</v>
          </cell>
          <cell r="C32">
            <v>6613.739999999999</v>
          </cell>
          <cell r="D32">
            <v>1514.04</v>
          </cell>
          <cell r="E32">
            <v>0</v>
          </cell>
          <cell r="F32">
            <v>35578.16999999999</v>
          </cell>
          <cell r="H32">
            <v>35366.81</v>
          </cell>
          <cell r="I32">
            <v>37267.80000000001</v>
          </cell>
          <cell r="J32">
            <v>43881.54000000001</v>
          </cell>
          <cell r="K32">
            <v>1.1593295674938355</v>
          </cell>
          <cell r="L32">
            <v>-6030.750000000002</v>
          </cell>
          <cell r="M32">
            <v>-316863.7100000001</v>
          </cell>
        </row>
        <row r="33">
          <cell r="A33" t="str">
            <v>  Sept</v>
          </cell>
          <cell r="B33">
            <v>37948.15000000002</v>
          </cell>
          <cell r="C33">
            <v>6630.790000000006</v>
          </cell>
          <cell r="D33">
            <v>1517.9300000000012</v>
          </cell>
          <cell r="E33">
            <v>0</v>
          </cell>
          <cell r="F33">
            <v>10961.73000000001</v>
          </cell>
          <cell r="H33">
            <v>21260.059999999998</v>
          </cell>
          <cell r="I33">
            <v>23168.80999999998</v>
          </cell>
          <cell r="J33">
            <v>29799.599999999984</v>
          </cell>
          <cell r="K33">
            <v>0.785271482272521</v>
          </cell>
          <cell r="L33">
            <v>8148.550000000035</v>
          </cell>
          <cell r="M33">
            <v>-308715.16000000003</v>
          </cell>
        </row>
        <row r="34">
          <cell r="A34" t="str">
            <v>  Oct</v>
          </cell>
          <cell r="B34">
            <v>39139.76999999999</v>
          </cell>
          <cell r="C34">
            <v>6839.669999999999</v>
          </cell>
          <cell r="D34">
            <v>1565.5899999999992</v>
          </cell>
          <cell r="E34">
            <v>0</v>
          </cell>
          <cell r="F34">
            <v>5364.709999999992</v>
          </cell>
          <cell r="H34">
            <v>9902.089999999998</v>
          </cell>
          <cell r="I34">
            <v>11862.399999999996</v>
          </cell>
          <cell r="J34">
            <v>18702.069999999996</v>
          </cell>
          <cell r="K34">
            <v>0.47782779510457013</v>
          </cell>
          <cell r="L34">
            <v>20437.69999999999</v>
          </cell>
          <cell r="M34">
            <v>-288277.46</v>
          </cell>
        </row>
        <row r="35">
          <cell r="A35" t="str">
            <v>  Nov</v>
          </cell>
          <cell r="B35">
            <v>39063.110000000015</v>
          </cell>
          <cell r="C35">
            <v>6825.559999999996</v>
          </cell>
          <cell r="D35">
            <v>1562.5299999999997</v>
          </cell>
          <cell r="E35">
            <v>0</v>
          </cell>
          <cell r="F35">
            <v>5651.630000000007</v>
          </cell>
          <cell r="H35">
            <v>17346.840000000004</v>
          </cell>
          <cell r="I35">
            <v>18242.300000000017</v>
          </cell>
          <cell r="J35">
            <v>25067.860000000015</v>
          </cell>
          <cell r="K35">
            <v>0.6417271947881263</v>
          </cell>
          <cell r="L35">
            <v>13995.249999999998</v>
          </cell>
          <cell r="M35">
            <v>-274282.21</v>
          </cell>
        </row>
        <row r="36">
          <cell r="A36" t="str">
            <v>  Dec</v>
          </cell>
          <cell r="B36">
            <v>38565.30999999997</v>
          </cell>
          <cell r="C36">
            <v>6738.789999999999</v>
          </cell>
          <cell r="D36">
            <v>1542.6200000000017</v>
          </cell>
          <cell r="E36">
            <v>0</v>
          </cell>
          <cell r="F36">
            <v>4644.5</v>
          </cell>
          <cell r="H36">
            <v>9617.230000000003</v>
          </cell>
          <cell r="I36">
            <v>11551.84999999999</v>
          </cell>
          <cell r="J36">
            <v>18290.63999999999</v>
          </cell>
          <cell r="K36">
            <v>0.47427701216455936</v>
          </cell>
          <cell r="L36">
            <v>20274.669999999976</v>
          </cell>
          <cell r="M36">
            <v>-254007.54000000004</v>
          </cell>
        </row>
        <row r="37">
          <cell r="A37" t="str">
            <v>  Jan 96</v>
          </cell>
          <cell r="B37">
            <v>39728</v>
          </cell>
          <cell r="C37">
            <v>6995</v>
          </cell>
          <cell r="D37">
            <v>1601</v>
          </cell>
          <cell r="E37">
            <v>0</v>
          </cell>
          <cell r="F37">
            <v>4645</v>
          </cell>
          <cell r="H37">
            <v>32851</v>
          </cell>
          <cell r="I37">
            <v>34851.060000000005</v>
          </cell>
          <cell r="J37">
            <v>41846.060000000005</v>
          </cell>
          <cell r="K37">
            <v>1.0533140354409989</v>
          </cell>
          <cell r="L37">
            <v>-2118.060000000005</v>
          </cell>
          <cell r="M37">
            <v>-256125.60000000003</v>
          </cell>
        </row>
        <row r="39">
          <cell r="A39" t="str">
            <v>CYTD (2/95 - 1/96)</v>
          </cell>
          <cell r="B39">
            <v>457639.32999999996</v>
          </cell>
          <cell r="C39">
            <v>80013.37</v>
          </cell>
          <cell r="D39">
            <v>18317.49</v>
          </cell>
          <cell r="E39">
            <v>0</v>
          </cell>
          <cell r="F39">
            <v>154285.54</v>
          </cell>
          <cell r="H39">
            <v>264061.26</v>
          </cell>
          <cell r="I39">
            <v>285917.75</v>
          </cell>
          <cell r="J39">
            <v>365931.12000000005</v>
          </cell>
          <cell r="K39">
            <v>0.7996059254784769</v>
          </cell>
          <cell r="L39">
            <v>91708.20999999999</v>
          </cell>
        </row>
        <row r="40">
          <cell r="A40" t="str">
            <v>Renewal (11/95 - 1/96)</v>
          </cell>
          <cell r="B40">
            <v>117356.41999999998</v>
          </cell>
          <cell r="C40">
            <v>20559.349999999995</v>
          </cell>
          <cell r="D40">
            <v>4706.1500000000015</v>
          </cell>
          <cell r="E40">
            <v>0</v>
          </cell>
          <cell r="F40">
            <v>14941.130000000008</v>
          </cell>
          <cell r="H40">
            <v>59815.07000000001</v>
          </cell>
          <cell r="I40">
            <v>64645.210000000014</v>
          </cell>
          <cell r="J40">
            <v>85204.56</v>
          </cell>
          <cell r="K40">
            <v>0.7260323721531383</v>
          </cell>
          <cell r="L40">
            <v>32151.85999999997</v>
          </cell>
        </row>
        <row r="43">
          <cell r="A43" t="str">
            <v>  Preferred Plan Experience #7442</v>
          </cell>
        </row>
        <row r="46">
          <cell r="B46" t="str">
            <v>Billed</v>
          </cell>
          <cell r="C46" t="str">
            <v>MSC</v>
          </cell>
          <cell r="D46" t="str">
            <v>Pooling</v>
          </cell>
          <cell r="E46" t="str">
            <v>Pooled </v>
          </cell>
          <cell r="F46" t="str">
            <v>Provider</v>
          </cell>
          <cell r="H46" t="str">
            <v>Net Paid</v>
          </cell>
          <cell r="I46" t="str">
            <v>Incurred</v>
          </cell>
          <cell r="J46" t="str">
            <v>Total</v>
          </cell>
          <cell r="K46" t="str">
            <v>Expense</v>
          </cell>
          <cell r="L46" t="str">
            <v>Gain/(Loss)</v>
          </cell>
          <cell r="M46" t="str">
            <v>Gain/(Loss)</v>
          </cell>
        </row>
        <row r="47">
          <cell r="B47" t="str">
            <v>Premium</v>
          </cell>
          <cell r="C47" t="str">
            <v>Admin</v>
          </cell>
          <cell r="D47" t="str">
            <v>Expense</v>
          </cell>
          <cell r="E47" t="str">
            <v>Claims</v>
          </cell>
          <cell r="F47" t="str">
            <v>Discounts</v>
          </cell>
          <cell r="H47" t="str">
            <v>Claims</v>
          </cell>
          <cell r="I47" t="str">
            <v>Claims</v>
          </cell>
          <cell r="J47" t="str">
            <v>Expenses</v>
          </cell>
          <cell r="K47" t="str">
            <v>Loss Ratio</v>
          </cell>
          <cell r="L47" t="str">
            <v>Monthly</v>
          </cell>
          <cell r="M47" t="str">
            <v>Contract</v>
          </cell>
        </row>
        <row r="49">
          <cell r="M49">
            <v>-324698.77</v>
          </cell>
        </row>
        <row r="50">
          <cell r="A50" t="str">
            <v>  Feb 95</v>
          </cell>
          <cell r="B50">
            <v>37697.32</v>
          </cell>
          <cell r="C50">
            <v>6597.03</v>
          </cell>
          <cell r="D50">
            <v>1507.89</v>
          </cell>
          <cell r="E50">
            <v>0</v>
          </cell>
          <cell r="F50">
            <v>13655.470000000001</v>
          </cell>
          <cell r="H50">
            <v>24334.41</v>
          </cell>
          <cell r="I50">
            <v>26202.91</v>
          </cell>
          <cell r="J50">
            <v>32799.94</v>
          </cell>
          <cell r="K50">
            <v>0.8700867860102522</v>
          </cell>
          <cell r="L50">
            <v>4897.379999999997</v>
          </cell>
          <cell r="M50">
            <v>-319801.39</v>
          </cell>
        </row>
        <row r="51">
          <cell r="A51" t="str">
            <v>  Mar</v>
          </cell>
          <cell r="B51">
            <v>37050.85999999999</v>
          </cell>
          <cell r="C51">
            <v>6483.900000000001</v>
          </cell>
          <cell r="D51">
            <v>1482.03</v>
          </cell>
          <cell r="E51">
            <v>0</v>
          </cell>
          <cell r="F51">
            <v>13899.119999999999</v>
          </cell>
          <cell r="H51">
            <v>19985.850000000002</v>
          </cell>
          <cell r="I51">
            <v>21832.09</v>
          </cell>
          <cell r="J51">
            <v>28315.99</v>
          </cell>
          <cell r="K51">
            <v>0.7642464979220457</v>
          </cell>
          <cell r="L51">
            <v>8734.869999999992</v>
          </cell>
          <cell r="M51">
            <v>-311066.52</v>
          </cell>
        </row>
        <row r="52">
          <cell r="A52" t="str">
            <v>  Apr</v>
          </cell>
          <cell r="B52">
            <v>36618.76000000001</v>
          </cell>
          <cell r="C52">
            <v>6408.279999999999</v>
          </cell>
          <cell r="D52">
            <v>1464.75</v>
          </cell>
          <cell r="E52">
            <v>0</v>
          </cell>
          <cell r="F52">
            <v>17762.52</v>
          </cell>
          <cell r="H52">
            <v>25762.620000000003</v>
          </cell>
          <cell r="I52">
            <v>27595.22</v>
          </cell>
          <cell r="J52">
            <v>34003.5</v>
          </cell>
          <cell r="K52">
            <v>0.9285814156459692</v>
          </cell>
          <cell r="L52">
            <v>2615.2600000000093</v>
          </cell>
          <cell r="M52">
            <v>-308451.26</v>
          </cell>
        </row>
        <row r="53">
          <cell r="A53" t="str">
            <v>  May</v>
          </cell>
          <cell r="B53">
            <v>36251.79999999999</v>
          </cell>
          <cell r="C53">
            <v>6344.07</v>
          </cell>
          <cell r="D53">
            <v>1450.0699999999997</v>
          </cell>
          <cell r="E53">
            <v>0</v>
          </cell>
          <cell r="F53">
            <v>18915.11</v>
          </cell>
          <cell r="H53">
            <v>22561.369999999995</v>
          </cell>
          <cell r="I53">
            <v>24382.97</v>
          </cell>
          <cell r="J53">
            <v>30727.04</v>
          </cell>
          <cell r="K53">
            <v>0.8476003950148685</v>
          </cell>
          <cell r="L53">
            <v>5524.7599999999875</v>
          </cell>
          <cell r="M53">
            <v>-302926.5</v>
          </cell>
        </row>
        <row r="54">
          <cell r="A54" t="str">
            <v>  June</v>
          </cell>
          <cell r="B54">
            <v>36618.76000000001</v>
          </cell>
          <cell r="C54">
            <v>6408.2800000000025</v>
          </cell>
          <cell r="D54">
            <v>1464.75</v>
          </cell>
          <cell r="E54">
            <v>0</v>
          </cell>
          <cell r="F54">
            <v>7291.7300000000105</v>
          </cell>
          <cell r="H54">
            <v>21666.190000000002</v>
          </cell>
          <cell r="I54">
            <v>23506.190000000002</v>
          </cell>
          <cell r="J54">
            <v>29914.470000000005</v>
          </cell>
          <cell r="K54">
            <v>0.8169165203846334</v>
          </cell>
          <cell r="L54">
            <v>6704.2900000000045</v>
          </cell>
          <cell r="M54">
            <v>-296222.21</v>
          </cell>
        </row>
        <row r="55">
          <cell r="A55" t="str">
            <v>  July</v>
          </cell>
          <cell r="B55">
            <v>36745.28</v>
          </cell>
          <cell r="C55">
            <v>6430.429999999997</v>
          </cell>
          <cell r="D55">
            <v>1469.8099999999995</v>
          </cell>
          <cell r="E55">
            <v>0</v>
          </cell>
          <cell r="F55">
            <v>15724.969999999987</v>
          </cell>
          <cell r="H55">
            <v>22439.440000000002</v>
          </cell>
          <cell r="I55">
            <v>24288.25</v>
          </cell>
          <cell r="J55">
            <v>30718.679999999997</v>
          </cell>
          <cell r="K55">
            <v>0.8359898196448632</v>
          </cell>
          <cell r="L55">
            <v>6026.600000000002</v>
          </cell>
          <cell r="M55">
            <v>-290195.61000000004</v>
          </cell>
        </row>
        <row r="56">
          <cell r="A56" t="str">
            <v>  Aug</v>
          </cell>
          <cell r="B56">
            <v>37174.880000000005</v>
          </cell>
          <cell r="C56">
            <v>6505.5999999999985</v>
          </cell>
          <cell r="D56">
            <v>1487</v>
          </cell>
          <cell r="E56">
            <v>0</v>
          </cell>
          <cell r="F56">
            <v>35568.09999999999</v>
          </cell>
          <cell r="H56">
            <v>35274.25</v>
          </cell>
          <cell r="I56">
            <v>37144.04000000001</v>
          </cell>
          <cell r="J56">
            <v>43649.64000000001</v>
          </cell>
          <cell r="K56">
            <v>1.1741702999444787</v>
          </cell>
          <cell r="L56">
            <v>-6474.760000000002</v>
          </cell>
          <cell r="M56">
            <v>-296670.37000000005</v>
          </cell>
        </row>
        <row r="57">
          <cell r="A57" t="str">
            <v>  Sept</v>
          </cell>
          <cell r="B57">
            <v>37272.24000000002</v>
          </cell>
          <cell r="C57">
            <v>6522.640000000007</v>
          </cell>
          <cell r="D57">
            <v>1490.8900000000012</v>
          </cell>
          <cell r="E57">
            <v>0</v>
          </cell>
          <cell r="F57">
            <v>10961.73000000001</v>
          </cell>
          <cell r="H57">
            <v>21260.059999999998</v>
          </cell>
          <cell r="I57">
            <v>23137.569999999978</v>
          </cell>
          <cell r="J57">
            <v>29660.209999999985</v>
          </cell>
          <cell r="K57">
            <v>0.7957721349723003</v>
          </cell>
          <cell r="L57">
            <v>7612.030000000035</v>
          </cell>
          <cell r="M57">
            <v>-289058.34</v>
          </cell>
        </row>
        <row r="58">
          <cell r="A58" t="str">
            <v>  Oct</v>
          </cell>
          <cell r="B58">
            <v>38463.859999999986</v>
          </cell>
          <cell r="C58">
            <v>6731.529999999999</v>
          </cell>
          <cell r="D58">
            <v>1538.5499999999993</v>
          </cell>
          <cell r="E58">
            <v>0</v>
          </cell>
          <cell r="F58">
            <v>5364.709999999992</v>
          </cell>
          <cell r="H58">
            <v>9895.809999999998</v>
          </cell>
          <cell r="I58">
            <v>11824.839999999997</v>
          </cell>
          <cell r="J58">
            <v>18556.369999999995</v>
          </cell>
          <cell r="K58">
            <v>0.48243650013285205</v>
          </cell>
          <cell r="L58">
            <v>19907.48999999999</v>
          </cell>
          <cell r="M58">
            <v>-269150.85000000003</v>
          </cell>
        </row>
        <row r="59">
          <cell r="A59" t="str">
            <v>  Nov</v>
          </cell>
          <cell r="B59">
            <v>38387.20000000001</v>
          </cell>
          <cell r="C59">
            <v>6717.409999999996</v>
          </cell>
          <cell r="D59">
            <v>1535.4899999999998</v>
          </cell>
          <cell r="E59">
            <v>0</v>
          </cell>
          <cell r="F59">
            <v>5625.320000000007</v>
          </cell>
          <cell r="H59">
            <v>17228.190000000002</v>
          </cell>
          <cell r="I59">
            <v>18324.800000000017</v>
          </cell>
          <cell r="J59">
            <v>25042.210000000014</v>
          </cell>
          <cell r="K59">
            <v>0.6523583381960655</v>
          </cell>
          <cell r="L59">
            <v>13344.989999999998</v>
          </cell>
          <cell r="M59">
            <v>-255805.86000000004</v>
          </cell>
        </row>
        <row r="60">
          <cell r="A60" t="str">
            <v>  Dec</v>
          </cell>
          <cell r="B60">
            <v>37889.399999999965</v>
          </cell>
          <cell r="C60">
            <v>6630.639999999999</v>
          </cell>
          <cell r="D60">
            <v>1515.5800000000017</v>
          </cell>
          <cell r="E60">
            <v>0</v>
          </cell>
          <cell r="F60">
            <v>4644.5</v>
          </cell>
          <cell r="H60">
            <v>9433.690000000002</v>
          </cell>
          <cell r="I60">
            <v>11339.26999999999</v>
          </cell>
          <cell r="J60">
            <v>17969.90999999999</v>
          </cell>
          <cell r="K60">
            <v>0.474272751745871</v>
          </cell>
          <cell r="L60">
            <v>19919.489999999976</v>
          </cell>
          <cell r="M60">
            <v>-235886.37000000005</v>
          </cell>
        </row>
        <row r="61">
          <cell r="A61" t="str">
            <v>  Jan 96</v>
          </cell>
          <cell r="B61">
            <v>39352</v>
          </cell>
          <cell r="C61">
            <v>6887</v>
          </cell>
          <cell r="D61">
            <v>1574</v>
          </cell>
          <cell r="E61">
            <v>0</v>
          </cell>
          <cell r="F61">
            <v>4645</v>
          </cell>
          <cell r="H61">
            <v>32851</v>
          </cell>
          <cell r="I61">
            <v>34822.060000000005</v>
          </cell>
          <cell r="J61">
            <v>41709.060000000005</v>
          </cell>
          <cell r="K61">
            <v>1.059896828623704</v>
          </cell>
          <cell r="L61">
            <v>-2357.060000000005</v>
          </cell>
          <cell r="M61">
            <v>-238243.43000000005</v>
          </cell>
        </row>
        <row r="63">
          <cell r="A63" t="str">
            <v>CYTD (2/95 - 1/96)</v>
          </cell>
          <cell r="B63">
            <v>449522.36</v>
          </cell>
          <cell r="C63">
            <v>78666.81</v>
          </cell>
          <cell r="D63">
            <v>17980.81</v>
          </cell>
          <cell r="E63">
            <v>0</v>
          </cell>
          <cell r="F63">
            <v>154058.28</v>
          </cell>
          <cell r="H63">
            <v>262692.88</v>
          </cell>
          <cell r="I63">
            <v>284400.21</v>
          </cell>
          <cell r="J63">
            <v>363067.01999999996</v>
          </cell>
          <cell r="K63">
            <v>0.8076728819451828</v>
          </cell>
          <cell r="L63">
            <v>86455.33999999997</v>
          </cell>
        </row>
        <row r="64">
          <cell r="A64" t="str">
            <v>Renewal (11/95 - 1/96)</v>
          </cell>
          <cell r="B64">
            <v>115628.59999999998</v>
          </cell>
          <cell r="C64">
            <v>20235.049999999996</v>
          </cell>
          <cell r="D64">
            <v>4625.0700000000015</v>
          </cell>
          <cell r="E64">
            <v>0</v>
          </cell>
          <cell r="F64">
            <v>14914.820000000007</v>
          </cell>
          <cell r="H64">
            <v>59512.880000000005</v>
          </cell>
          <cell r="I64">
            <v>64486.13000000001</v>
          </cell>
          <cell r="J64">
            <v>84721.18000000001</v>
          </cell>
          <cell r="K64">
            <v>0.7327009061771916</v>
          </cell>
          <cell r="L64">
            <v>30907.41999999997</v>
          </cell>
        </row>
        <row r="67">
          <cell r="A67" t="str">
            <v>Large claim activty (Both Plans):</v>
          </cell>
        </row>
        <row r="68">
          <cell r="A68" t="str">
            <v>Patient</v>
          </cell>
          <cell r="B68" t="str">
            <v>Paid</v>
          </cell>
          <cell r="C68" t="str">
            <v>Diagnosis</v>
          </cell>
        </row>
        <row r="69">
          <cell r="A69" t="str">
            <v>Male Subscriber</v>
          </cell>
          <cell r="B69">
            <v>12678.36</v>
          </cell>
          <cell r="C69" t="str">
            <v>Skin Disorder - Large claims paid in August</v>
          </cell>
        </row>
        <row r="70">
          <cell r="A70" t="str">
            <v>Male Subscriber</v>
          </cell>
          <cell r="B70">
            <v>11881.38</v>
          </cell>
          <cell r="C70" t="str">
            <v>Cancer</v>
          </cell>
        </row>
        <row r="71">
          <cell r="A71" t="str">
            <v>Male Subscriber</v>
          </cell>
          <cell r="B71">
            <v>17554.76</v>
          </cell>
          <cell r="C71" t="str">
            <v>Heart Disease - Large claims paid in August</v>
          </cell>
        </row>
        <row r="72">
          <cell r="A72" t="str">
            <v>Male Subscriber</v>
          </cell>
          <cell r="B72">
            <v>13480.62</v>
          </cell>
          <cell r="C72" t="str">
            <v>Heart Disease - Large claims paid in January</v>
          </cell>
        </row>
        <row r="74">
          <cell r="A74" t="str">
            <v>  Traditional Plan Experience #1806</v>
          </cell>
        </row>
        <row r="77">
          <cell r="B77" t="str">
            <v>Billed</v>
          </cell>
          <cell r="C77" t="str">
            <v>MSC</v>
          </cell>
          <cell r="D77" t="str">
            <v>Pooling</v>
          </cell>
          <cell r="E77" t="str">
            <v>Pooled </v>
          </cell>
          <cell r="F77" t="str">
            <v>Provider</v>
          </cell>
          <cell r="H77" t="str">
            <v>Net Paid</v>
          </cell>
          <cell r="I77" t="str">
            <v>Incurred</v>
          </cell>
          <cell r="J77" t="str">
            <v>Total</v>
          </cell>
          <cell r="K77" t="str">
            <v>Expense</v>
          </cell>
          <cell r="L77" t="str">
            <v>Gain/(Loss)</v>
          </cell>
          <cell r="M77" t="str">
            <v>Gain/(Loss)</v>
          </cell>
        </row>
        <row r="78">
          <cell r="B78" t="str">
            <v>Premium</v>
          </cell>
          <cell r="C78" t="str">
            <v>Admin</v>
          </cell>
          <cell r="D78" t="str">
            <v>Expense</v>
          </cell>
          <cell r="E78" t="str">
            <v>Claims</v>
          </cell>
          <cell r="F78" t="str">
            <v>Discounts</v>
          </cell>
          <cell r="H78" t="str">
            <v>Claims</v>
          </cell>
          <cell r="I78" t="str">
            <v>Claims</v>
          </cell>
          <cell r="J78" t="str">
            <v>Expenses</v>
          </cell>
          <cell r="K78" t="str">
            <v>Loss Ratio</v>
          </cell>
          <cell r="L78" t="str">
            <v>Monthly</v>
          </cell>
          <cell r="M78" t="str">
            <v>Contract</v>
          </cell>
        </row>
        <row r="80">
          <cell r="M80">
            <v>-23135.04</v>
          </cell>
        </row>
        <row r="81">
          <cell r="A81" t="str">
            <v>  Feb 95</v>
          </cell>
          <cell r="B81">
            <v>752.4</v>
          </cell>
          <cell r="C81">
            <v>120.38</v>
          </cell>
          <cell r="D81">
            <v>30.1</v>
          </cell>
          <cell r="E81">
            <v>0</v>
          </cell>
          <cell r="F81">
            <v>0</v>
          </cell>
          <cell r="H81">
            <v>0</v>
          </cell>
          <cell r="I81">
            <v>34.02</v>
          </cell>
          <cell r="J81">
            <v>154.4</v>
          </cell>
          <cell r="K81">
            <v>0.2052099946836789</v>
          </cell>
          <cell r="L81">
            <v>598</v>
          </cell>
          <cell r="M81">
            <v>-22537.04</v>
          </cell>
        </row>
        <row r="82">
          <cell r="A82" t="str">
            <v>  Mar</v>
          </cell>
          <cell r="B82">
            <v>752.4</v>
          </cell>
          <cell r="C82">
            <v>120.39000000000001</v>
          </cell>
          <cell r="D82">
            <v>30.1</v>
          </cell>
          <cell r="E82">
            <v>0</v>
          </cell>
          <cell r="F82">
            <v>0</v>
          </cell>
          <cell r="H82">
            <v>13.1</v>
          </cell>
          <cell r="I82">
            <v>47.15</v>
          </cell>
          <cell r="J82">
            <v>167.54000000000002</v>
          </cell>
          <cell r="K82">
            <v>0.2226741095162148</v>
          </cell>
          <cell r="L82">
            <v>584.8599999999999</v>
          </cell>
          <cell r="M82">
            <v>-21952.18</v>
          </cell>
        </row>
        <row r="83">
          <cell r="A83" t="str">
            <v>  Apr</v>
          </cell>
          <cell r="B83">
            <v>752.3999999999999</v>
          </cell>
          <cell r="C83">
            <v>120.37999999999997</v>
          </cell>
          <cell r="D83">
            <v>30.099999999999994</v>
          </cell>
          <cell r="E83">
            <v>0</v>
          </cell>
          <cell r="F83">
            <v>27.24</v>
          </cell>
          <cell r="H83">
            <v>218.86</v>
          </cell>
          <cell r="I83">
            <v>252.95</v>
          </cell>
          <cell r="J83">
            <v>373.3299999999999</v>
          </cell>
          <cell r="K83">
            <v>0.49618553960659223</v>
          </cell>
          <cell r="L83">
            <v>379.06999999999994</v>
          </cell>
          <cell r="M83">
            <v>-21573.11</v>
          </cell>
        </row>
        <row r="84">
          <cell r="A84" t="str">
            <v>  May</v>
          </cell>
          <cell r="B84">
            <v>752.4000000000001</v>
          </cell>
          <cell r="C84">
            <v>120.39000000000004</v>
          </cell>
          <cell r="D84">
            <v>30.10000000000001</v>
          </cell>
          <cell r="E84">
            <v>0</v>
          </cell>
          <cell r="F84">
            <v>68.2</v>
          </cell>
          <cell r="H84">
            <v>630.5699999999999</v>
          </cell>
          <cell r="I84">
            <v>664.7</v>
          </cell>
          <cell r="J84">
            <v>785.0900000000001</v>
          </cell>
          <cell r="K84">
            <v>1.043447634237108</v>
          </cell>
          <cell r="L84">
            <v>-32.690000000000055</v>
          </cell>
          <cell r="M84">
            <v>-21605.8</v>
          </cell>
        </row>
        <row r="85">
          <cell r="A85" t="str">
            <v>  June</v>
          </cell>
          <cell r="B85">
            <v>675.9100000000003</v>
          </cell>
          <cell r="C85">
            <v>108.13999999999993</v>
          </cell>
          <cell r="D85">
            <v>27.039999999999992</v>
          </cell>
          <cell r="E85">
            <v>0</v>
          </cell>
          <cell r="F85">
            <v>95.44</v>
          </cell>
          <cell r="H85">
            <v>64.82000000000005</v>
          </cell>
          <cell r="I85">
            <v>95.92999999999995</v>
          </cell>
          <cell r="J85">
            <v>204.06999999999988</v>
          </cell>
          <cell r="K85">
            <v>0.3019188945273776</v>
          </cell>
          <cell r="L85">
            <v>471.84000000000043</v>
          </cell>
          <cell r="M85">
            <v>-21133.96</v>
          </cell>
        </row>
        <row r="86">
          <cell r="A86" t="str">
            <v>  July</v>
          </cell>
          <cell r="B86">
            <v>675.9099999999999</v>
          </cell>
          <cell r="C86">
            <v>108.15000000000009</v>
          </cell>
          <cell r="D86">
            <v>27.039999999999992</v>
          </cell>
          <cell r="E86">
            <v>0</v>
          </cell>
          <cell r="F86">
            <v>0</v>
          </cell>
          <cell r="H86">
            <v>40</v>
          </cell>
          <cell r="I86">
            <v>71.15000000000009</v>
          </cell>
          <cell r="J86">
            <v>179.30000000000018</v>
          </cell>
          <cell r="K86">
            <v>0.2652720036691279</v>
          </cell>
          <cell r="L86">
            <v>496.6099999999997</v>
          </cell>
          <cell r="M86">
            <v>-20637.35</v>
          </cell>
        </row>
        <row r="87">
          <cell r="A87" t="str">
            <v>  Aug</v>
          </cell>
          <cell r="B87">
            <v>675.9099999999999</v>
          </cell>
          <cell r="C87">
            <v>108.13999999999999</v>
          </cell>
          <cell r="D87">
            <v>27.04000000000002</v>
          </cell>
          <cell r="E87">
            <v>0</v>
          </cell>
          <cell r="F87">
            <v>10.070000000000007</v>
          </cell>
          <cell r="H87">
            <v>92.56000000000006</v>
          </cell>
          <cell r="I87">
            <v>123.75999999999999</v>
          </cell>
          <cell r="J87">
            <v>231.89999999999998</v>
          </cell>
          <cell r="K87">
            <v>0.3430930153422793</v>
          </cell>
          <cell r="L87">
            <v>444.0099999999999</v>
          </cell>
          <cell r="M87">
            <v>-20193.34</v>
          </cell>
        </row>
        <row r="88">
          <cell r="A88" t="str">
            <v>  Sept</v>
          </cell>
          <cell r="B88">
            <v>675.9099999999999</v>
          </cell>
          <cell r="C88">
            <v>108.14999999999998</v>
          </cell>
          <cell r="D88">
            <v>27.039999999999992</v>
          </cell>
          <cell r="E88">
            <v>0</v>
          </cell>
          <cell r="F88">
            <v>0</v>
          </cell>
          <cell r="H88">
            <v>0</v>
          </cell>
          <cell r="I88">
            <v>31.24000000000001</v>
          </cell>
          <cell r="J88">
            <v>139.39</v>
          </cell>
          <cell r="K88">
            <v>0.20622568093385216</v>
          </cell>
          <cell r="L88">
            <v>536.5199999999999</v>
          </cell>
          <cell r="M88">
            <v>-19656.82</v>
          </cell>
        </row>
        <row r="89">
          <cell r="A89" t="str">
            <v>  Oct</v>
          </cell>
          <cell r="B89">
            <v>675.9099999999999</v>
          </cell>
          <cell r="C89">
            <v>108.13999999999999</v>
          </cell>
          <cell r="D89">
            <v>27.039999999999992</v>
          </cell>
          <cell r="E89">
            <v>0</v>
          </cell>
          <cell r="F89">
            <v>0</v>
          </cell>
          <cell r="H89">
            <v>6.279999999999973</v>
          </cell>
          <cell r="I89">
            <v>37.559999999999945</v>
          </cell>
          <cell r="J89">
            <v>145.69999999999993</v>
          </cell>
          <cell r="K89">
            <v>0.21556124336080243</v>
          </cell>
          <cell r="L89">
            <v>530.2099999999999</v>
          </cell>
          <cell r="M89">
            <v>-19126.61</v>
          </cell>
        </row>
        <row r="90">
          <cell r="A90" t="str">
            <v>  Nov</v>
          </cell>
          <cell r="B90">
            <v>675.9100000000008</v>
          </cell>
          <cell r="C90">
            <v>108.15000000000009</v>
          </cell>
          <cell r="D90">
            <v>27.039999999999992</v>
          </cell>
          <cell r="E90">
            <v>0</v>
          </cell>
          <cell r="F90">
            <v>26.309999999999988</v>
          </cell>
          <cell r="H90">
            <v>118.64999999999986</v>
          </cell>
          <cell r="I90">
            <v>-82.5</v>
          </cell>
          <cell r="J90">
            <v>25.65000000000009</v>
          </cell>
          <cell r="K90">
            <v>0.037948839342516104</v>
          </cell>
          <cell r="L90">
            <v>650.2600000000007</v>
          </cell>
          <cell r="M90">
            <v>-18476.35</v>
          </cell>
        </row>
        <row r="91">
          <cell r="A91" t="str">
            <v>  Dec</v>
          </cell>
          <cell r="B91">
            <v>675.9099999999999</v>
          </cell>
          <cell r="C91">
            <v>108.14999999999986</v>
          </cell>
          <cell r="D91">
            <v>27.04000000000002</v>
          </cell>
          <cell r="E91">
            <v>0</v>
          </cell>
          <cell r="F91">
            <v>0</v>
          </cell>
          <cell r="H91">
            <v>183.5400000000002</v>
          </cell>
          <cell r="I91">
            <v>212.57999999999993</v>
          </cell>
          <cell r="J91">
            <v>320.7299999999998</v>
          </cell>
          <cell r="K91">
            <v>0.47451583790741353</v>
          </cell>
          <cell r="L91">
            <v>355.18000000000006</v>
          </cell>
          <cell r="M91">
            <v>-18121.17</v>
          </cell>
        </row>
        <row r="92">
          <cell r="A92" t="str">
            <v>  Jan 96</v>
          </cell>
          <cell r="B92">
            <v>376</v>
          </cell>
          <cell r="C92">
            <v>108</v>
          </cell>
          <cell r="D92">
            <v>27</v>
          </cell>
          <cell r="E92">
            <v>0</v>
          </cell>
          <cell r="F92">
            <v>0</v>
          </cell>
          <cell r="H92">
            <v>0</v>
          </cell>
          <cell r="I92">
            <v>29</v>
          </cell>
          <cell r="J92">
            <v>137</v>
          </cell>
          <cell r="K92">
            <v>0.36436170212765956</v>
          </cell>
          <cell r="L92">
            <v>239</v>
          </cell>
          <cell r="M92">
            <v>-17882.17</v>
          </cell>
        </row>
        <row r="94">
          <cell r="A94" t="str">
            <v>CYTD (2/95 - 1/96)</v>
          </cell>
          <cell r="B94">
            <v>8116.97</v>
          </cell>
          <cell r="C94">
            <v>1346.56</v>
          </cell>
          <cell r="D94">
            <v>336.68</v>
          </cell>
          <cell r="E94">
            <v>0</v>
          </cell>
          <cell r="F94">
            <v>227.26</v>
          </cell>
          <cell r="H94">
            <v>1368.38</v>
          </cell>
          <cell r="I94">
            <v>1517.54</v>
          </cell>
          <cell r="J94">
            <v>2864.0999999999995</v>
          </cell>
          <cell r="K94">
            <v>0.35285334305781585</v>
          </cell>
          <cell r="L94">
            <v>5252.870000000001</v>
          </cell>
        </row>
        <row r="95">
          <cell r="A95" t="str">
            <v>Renewal (11/95 - 1/96)</v>
          </cell>
          <cell r="B95">
            <v>1727.8200000000006</v>
          </cell>
          <cell r="C95">
            <v>324.29999999999995</v>
          </cell>
          <cell r="D95">
            <v>81.08000000000001</v>
          </cell>
          <cell r="E95">
            <v>0</v>
          </cell>
          <cell r="F95">
            <v>26.309999999999988</v>
          </cell>
          <cell r="H95">
            <v>302.19000000000005</v>
          </cell>
          <cell r="I95">
            <v>159.07999999999993</v>
          </cell>
          <cell r="J95">
            <v>483.3799999999999</v>
          </cell>
          <cell r="K95">
            <v>0.2797629382690325</v>
          </cell>
          <cell r="L95">
            <v>1244.4400000000007</v>
          </cell>
        </row>
      </sheetData>
      <sheetData sheetId="1">
        <row r="3">
          <cell r="A3" t="str">
            <v>Combined Medical Plan Experience</v>
          </cell>
        </row>
        <row r="23">
          <cell r="D23" t="str">
            <v>Billed</v>
          </cell>
          <cell r="E23" t="str">
            <v>Pooling</v>
          </cell>
          <cell r="F23" t="str">
            <v>Retention</v>
          </cell>
          <cell r="G23" t="str">
            <v>Gross</v>
          </cell>
          <cell r="H23" t="str">
            <v>Pooled</v>
          </cell>
          <cell r="I23" t="str">
            <v>Net Paid</v>
          </cell>
          <cell r="J23" t="str">
            <v>Total</v>
          </cell>
          <cell r="K23" t="str">
            <v>Expense</v>
          </cell>
          <cell r="L23" t="str">
            <v>Gain/(Loss)</v>
          </cell>
        </row>
        <row r="24">
          <cell r="D24" t="str">
            <v>Premium</v>
          </cell>
          <cell r="E24" t="str">
            <v>Expense</v>
          </cell>
          <cell r="F24" t="str">
            <v>Charge</v>
          </cell>
          <cell r="G24" t="str">
            <v>Claims</v>
          </cell>
          <cell r="H24" t="str">
            <v>Claims</v>
          </cell>
          <cell r="I24" t="str">
            <v>Claims</v>
          </cell>
          <cell r="J24" t="str">
            <v>Expenses</v>
          </cell>
          <cell r="K24" t="str">
            <v>Loss Ratio</v>
          </cell>
          <cell r="L24" t="str">
            <v>Monthly</v>
          </cell>
        </row>
        <row r="27">
          <cell r="B27">
            <v>35096</v>
          </cell>
          <cell r="D27">
            <v>41595</v>
          </cell>
          <cell r="E27">
            <v>1663.8</v>
          </cell>
          <cell r="F27">
            <v>7268.985</v>
          </cell>
          <cell r="G27">
            <v>19090</v>
          </cell>
          <cell r="H27">
            <v>0</v>
          </cell>
          <cell r="I27">
            <v>19090</v>
          </cell>
          <cell r="J27">
            <v>28022.785</v>
          </cell>
          <cell r="K27">
            <v>0.6737056136554874</v>
          </cell>
          <cell r="L27">
            <v>13572.215</v>
          </cell>
        </row>
        <row r="28">
          <cell r="B28">
            <v>35125</v>
          </cell>
          <cell r="D28">
            <v>40537</v>
          </cell>
          <cell r="E28">
            <v>1621.48</v>
          </cell>
          <cell r="F28">
            <v>7083.834999999999</v>
          </cell>
          <cell r="G28">
            <v>16718</v>
          </cell>
          <cell r="H28">
            <v>0</v>
          </cell>
          <cell r="I28">
            <v>16718</v>
          </cell>
          <cell r="J28">
            <v>25423.315</v>
          </cell>
          <cell r="K28">
            <v>0.6271632089202457</v>
          </cell>
          <cell r="L28">
            <v>15113.685000000001</v>
          </cell>
        </row>
        <row r="29">
          <cell r="B29">
            <v>35156</v>
          </cell>
          <cell r="D29">
            <v>39991</v>
          </cell>
          <cell r="E29">
            <v>1599.64</v>
          </cell>
          <cell r="F29">
            <v>6988.285</v>
          </cell>
          <cell r="G29">
            <v>11658</v>
          </cell>
          <cell r="H29">
            <v>0</v>
          </cell>
          <cell r="I29">
            <v>11658</v>
          </cell>
          <cell r="J29">
            <v>20245.925</v>
          </cell>
          <cell r="K29">
            <v>0.5062620339576405</v>
          </cell>
          <cell r="L29">
            <v>19745.075</v>
          </cell>
        </row>
        <row r="30">
          <cell r="B30">
            <v>35186</v>
          </cell>
          <cell r="D30">
            <v>39601</v>
          </cell>
          <cell r="E30">
            <v>1584.04</v>
          </cell>
          <cell r="F30">
            <v>6920.035</v>
          </cell>
          <cell r="G30">
            <v>19788</v>
          </cell>
          <cell r="H30">
            <v>0</v>
          </cell>
          <cell r="I30">
            <v>19788</v>
          </cell>
          <cell r="J30">
            <v>28292.075</v>
          </cell>
          <cell r="K30">
            <v>0.7144282972652206</v>
          </cell>
          <cell r="L30">
            <v>11308.925</v>
          </cell>
        </row>
        <row r="31">
          <cell r="B31">
            <v>35217</v>
          </cell>
          <cell r="D31">
            <v>41696</v>
          </cell>
          <cell r="E31">
            <v>1667.84</v>
          </cell>
          <cell r="F31">
            <v>7286.659999999999</v>
          </cell>
          <cell r="G31">
            <v>38380</v>
          </cell>
          <cell r="H31">
            <v>0</v>
          </cell>
          <cell r="I31">
            <v>38380</v>
          </cell>
          <cell r="J31">
            <v>47334.5</v>
          </cell>
          <cell r="K31">
            <v>1.1352287989255565</v>
          </cell>
          <cell r="L31">
            <v>-5638.500000000003</v>
          </cell>
        </row>
        <row r="32">
          <cell r="B32">
            <v>35247</v>
          </cell>
          <cell r="D32">
            <v>41136</v>
          </cell>
          <cell r="E32">
            <v>1645.44</v>
          </cell>
          <cell r="F32">
            <v>7188.66</v>
          </cell>
          <cell r="G32">
            <v>16572</v>
          </cell>
          <cell r="H32">
            <v>0</v>
          </cell>
          <cell r="I32">
            <v>16572</v>
          </cell>
          <cell r="J32">
            <v>25406.100000000002</v>
          </cell>
          <cell r="K32">
            <v>0.6176123103850643</v>
          </cell>
          <cell r="L32">
            <v>15729.899999999998</v>
          </cell>
        </row>
        <row r="33">
          <cell r="B33">
            <v>35278</v>
          </cell>
          <cell r="D33">
            <v>40755</v>
          </cell>
          <cell r="E33">
            <v>1630.2</v>
          </cell>
          <cell r="F33">
            <v>7121.985</v>
          </cell>
          <cell r="G33">
            <v>18125</v>
          </cell>
          <cell r="H33">
            <v>0</v>
          </cell>
          <cell r="I33">
            <v>18125</v>
          </cell>
          <cell r="J33">
            <v>26877.185</v>
          </cell>
          <cell r="K33">
            <v>0.6594819040608515</v>
          </cell>
          <cell r="L33">
            <v>13877.814999999999</v>
          </cell>
        </row>
        <row r="34">
          <cell r="B34">
            <v>35309</v>
          </cell>
          <cell r="D34">
            <v>40754</v>
          </cell>
          <cell r="E34">
            <v>1630.16</v>
          </cell>
          <cell r="F34">
            <v>7121.8099999999995</v>
          </cell>
          <cell r="G34">
            <v>14927</v>
          </cell>
          <cell r="H34">
            <v>0</v>
          </cell>
          <cell r="I34">
            <v>14927</v>
          </cell>
          <cell r="J34">
            <v>23678.97</v>
          </cell>
          <cell r="K34">
            <v>0.5810219855719684</v>
          </cell>
          <cell r="L34">
            <v>17075.03</v>
          </cell>
        </row>
        <row r="35">
          <cell r="B35">
            <v>35339</v>
          </cell>
          <cell r="D35">
            <v>39525</v>
          </cell>
          <cell r="E35">
            <v>1581</v>
          </cell>
          <cell r="F35">
            <v>6906.735</v>
          </cell>
          <cell r="G35">
            <v>20892</v>
          </cell>
          <cell r="H35">
            <v>0</v>
          </cell>
          <cell r="I35">
            <v>20892</v>
          </cell>
          <cell r="J35">
            <v>29379.735</v>
          </cell>
          <cell r="K35">
            <v>0.7433203036053131</v>
          </cell>
          <cell r="L35">
            <v>10145.265</v>
          </cell>
        </row>
        <row r="36">
          <cell r="B36">
            <v>35370</v>
          </cell>
          <cell r="D36">
            <v>39952</v>
          </cell>
          <cell r="E36">
            <v>1598.08</v>
          </cell>
          <cell r="F36">
            <v>6981.459999999999</v>
          </cell>
          <cell r="G36">
            <v>17653</v>
          </cell>
          <cell r="H36">
            <v>0</v>
          </cell>
          <cell r="I36">
            <v>17653</v>
          </cell>
          <cell r="J36">
            <v>26232.54</v>
          </cell>
          <cell r="K36">
            <v>0.6566014217060473</v>
          </cell>
          <cell r="L36">
            <v>13719.46</v>
          </cell>
        </row>
        <row r="37">
          <cell r="B37">
            <v>35400</v>
          </cell>
          <cell r="D37">
            <v>41370</v>
          </cell>
          <cell r="E37">
            <v>1654.8</v>
          </cell>
          <cell r="F37">
            <v>7229.61</v>
          </cell>
          <cell r="G37">
            <v>22470</v>
          </cell>
          <cell r="H37">
            <v>0</v>
          </cell>
          <cell r="I37">
            <v>22470</v>
          </cell>
          <cell r="J37">
            <v>31354.41</v>
          </cell>
          <cell r="K37">
            <v>0.757902102973169</v>
          </cell>
          <cell r="L37">
            <v>10015.59</v>
          </cell>
        </row>
        <row r="38">
          <cell r="B38">
            <v>35431</v>
          </cell>
          <cell r="D38">
            <v>41003</v>
          </cell>
          <cell r="E38">
            <v>1640.12</v>
          </cell>
          <cell r="F38">
            <v>7165.384999999999</v>
          </cell>
          <cell r="G38">
            <v>33127</v>
          </cell>
          <cell r="H38">
            <v>0</v>
          </cell>
          <cell r="I38">
            <v>33127</v>
          </cell>
          <cell r="J38">
            <v>41932.505</v>
          </cell>
          <cell r="K38">
            <v>1.0226691949369557</v>
          </cell>
          <cell r="L38">
            <v>-929.5050000000003</v>
          </cell>
        </row>
        <row r="40">
          <cell r="A40" t="str">
            <v>CYTD (2/96 - 1/97)</v>
          </cell>
          <cell r="D40">
            <v>487915</v>
          </cell>
          <cell r="E40">
            <v>19516.6</v>
          </cell>
          <cell r="F40">
            <v>85263.44499999998</v>
          </cell>
          <cell r="G40">
            <v>249400</v>
          </cell>
          <cell r="H40">
            <v>0</v>
          </cell>
          <cell r="I40">
            <v>249400</v>
          </cell>
          <cell r="J40">
            <v>354180.0449999999</v>
          </cell>
          <cell r="K40">
            <v>0.7259052191467774</v>
          </cell>
          <cell r="L40">
            <v>133734.955</v>
          </cell>
        </row>
        <row r="41">
          <cell r="A41" t="str">
            <v>Renewal (9/96 - 1/97)</v>
          </cell>
          <cell r="D41">
            <v>202604</v>
          </cell>
          <cell r="E41">
            <v>8104.16</v>
          </cell>
          <cell r="F41">
            <v>35405</v>
          </cell>
          <cell r="G41">
            <v>109069</v>
          </cell>
          <cell r="H41">
            <v>0</v>
          </cell>
          <cell r="I41">
            <v>109069</v>
          </cell>
          <cell r="J41">
            <v>152578.16</v>
          </cell>
          <cell r="K41">
            <v>0.7530856251604114</v>
          </cell>
          <cell r="L41">
            <v>50025.840000000004</v>
          </cell>
        </row>
        <row r="45">
          <cell r="A45">
            <v>1</v>
          </cell>
          <cell r="B45">
            <v>14</v>
          </cell>
          <cell r="D45">
            <v>9</v>
          </cell>
          <cell r="E45">
            <v>9</v>
          </cell>
          <cell r="F45">
            <v>9</v>
          </cell>
          <cell r="G45">
            <v>9</v>
          </cell>
          <cell r="H45">
            <v>9</v>
          </cell>
          <cell r="I45">
            <v>9</v>
          </cell>
          <cell r="J45">
            <v>9</v>
          </cell>
          <cell r="K45">
            <v>9</v>
          </cell>
          <cell r="L45">
            <v>9</v>
          </cell>
          <cell r="M45">
            <v>1</v>
          </cell>
        </row>
        <row r="46">
          <cell r="B46" t="str">
            <v>Traditional Plan Experience #1806</v>
          </cell>
        </row>
        <row r="49">
          <cell r="D49" t="str">
            <v>Billed</v>
          </cell>
          <cell r="E49" t="str">
            <v>Pooling</v>
          </cell>
          <cell r="F49" t="str">
            <v>Retention</v>
          </cell>
          <cell r="G49" t="str">
            <v>Gross</v>
          </cell>
          <cell r="H49" t="str">
            <v>Pooled</v>
          </cell>
          <cell r="I49" t="str">
            <v>Net Paid</v>
          </cell>
          <cell r="J49" t="str">
            <v>Total</v>
          </cell>
          <cell r="K49" t="str">
            <v>Expense</v>
          </cell>
          <cell r="L49" t="str">
            <v>Gain/(Loss)</v>
          </cell>
        </row>
        <row r="50">
          <cell r="D50" t="str">
            <v>Premium</v>
          </cell>
          <cell r="E50" t="str">
            <v>Expense</v>
          </cell>
          <cell r="F50" t="str">
            <v>Charge</v>
          </cell>
          <cell r="G50" t="str">
            <v>Claims</v>
          </cell>
          <cell r="H50" t="str">
            <v>Claims</v>
          </cell>
          <cell r="I50" t="str">
            <v>Claims</v>
          </cell>
          <cell r="J50" t="str">
            <v>Expenses</v>
          </cell>
          <cell r="K50" t="str">
            <v>Loss Ratio</v>
          </cell>
          <cell r="L50" t="str">
            <v>Monthly</v>
          </cell>
        </row>
        <row r="53">
          <cell r="B53">
            <v>35096</v>
          </cell>
          <cell r="D53">
            <v>676</v>
          </cell>
          <cell r="E53">
            <v>27.04</v>
          </cell>
          <cell r="F53">
            <v>108.16</v>
          </cell>
          <cell r="G53">
            <v>0</v>
          </cell>
          <cell r="H53">
            <v>0</v>
          </cell>
          <cell r="I53">
            <v>0</v>
          </cell>
          <cell r="J53">
            <v>135.2</v>
          </cell>
          <cell r="K53">
            <v>0.19999999999999998</v>
          </cell>
          <cell r="L53">
            <v>540.8</v>
          </cell>
        </row>
        <row r="54">
          <cell r="B54">
            <v>35125</v>
          </cell>
          <cell r="D54">
            <v>676</v>
          </cell>
          <cell r="E54">
            <v>27.04</v>
          </cell>
          <cell r="F54">
            <v>108.16</v>
          </cell>
          <cell r="G54">
            <v>0</v>
          </cell>
          <cell r="H54">
            <v>0</v>
          </cell>
          <cell r="I54">
            <v>0</v>
          </cell>
          <cell r="J54">
            <v>135.2</v>
          </cell>
          <cell r="K54">
            <v>0.19999999999999998</v>
          </cell>
          <cell r="L54">
            <v>540.8</v>
          </cell>
        </row>
        <row r="55">
          <cell r="B55">
            <v>35156</v>
          </cell>
          <cell r="D55">
            <v>676</v>
          </cell>
          <cell r="E55">
            <v>27.04</v>
          </cell>
          <cell r="F55">
            <v>108.16</v>
          </cell>
          <cell r="G55">
            <v>0</v>
          </cell>
          <cell r="H55">
            <v>0</v>
          </cell>
          <cell r="I55">
            <v>0</v>
          </cell>
          <cell r="J55">
            <v>135.2</v>
          </cell>
          <cell r="K55">
            <v>0.19999999999999998</v>
          </cell>
          <cell r="L55">
            <v>540.8</v>
          </cell>
        </row>
        <row r="56">
          <cell r="B56">
            <v>35186</v>
          </cell>
          <cell r="D56">
            <v>676</v>
          </cell>
          <cell r="E56">
            <v>27.04</v>
          </cell>
          <cell r="F56">
            <v>108.16</v>
          </cell>
          <cell r="G56">
            <v>14</v>
          </cell>
          <cell r="H56">
            <v>0</v>
          </cell>
          <cell r="I56">
            <v>14</v>
          </cell>
          <cell r="J56">
            <v>149.2</v>
          </cell>
          <cell r="K56">
            <v>0.2207100591715976</v>
          </cell>
          <cell r="L56">
            <v>526.8</v>
          </cell>
        </row>
        <row r="57">
          <cell r="B57">
            <v>35217</v>
          </cell>
          <cell r="D57">
            <v>676</v>
          </cell>
          <cell r="E57">
            <v>27.04</v>
          </cell>
          <cell r="F57">
            <v>108.16</v>
          </cell>
          <cell r="G57">
            <v>1526</v>
          </cell>
          <cell r="H57">
            <v>0</v>
          </cell>
          <cell r="I57">
            <v>1526</v>
          </cell>
          <cell r="J57">
            <v>1661.2</v>
          </cell>
          <cell r="K57">
            <v>2.457396449704142</v>
          </cell>
          <cell r="L57">
            <v>-985.2</v>
          </cell>
        </row>
        <row r="58">
          <cell r="B58">
            <v>35247</v>
          </cell>
          <cell r="D58">
            <v>676</v>
          </cell>
          <cell r="E58">
            <v>27.04</v>
          </cell>
          <cell r="F58">
            <v>108.16</v>
          </cell>
          <cell r="G58">
            <v>36</v>
          </cell>
          <cell r="H58">
            <v>0</v>
          </cell>
          <cell r="I58">
            <v>36</v>
          </cell>
          <cell r="J58">
            <v>171.2</v>
          </cell>
          <cell r="K58">
            <v>0.2532544378698225</v>
          </cell>
          <cell r="L58">
            <v>504.8</v>
          </cell>
        </row>
        <row r="59">
          <cell r="B59">
            <v>35278</v>
          </cell>
          <cell r="D59">
            <v>676</v>
          </cell>
          <cell r="E59">
            <v>27.04</v>
          </cell>
          <cell r="F59">
            <v>108.16</v>
          </cell>
          <cell r="G59">
            <v>0</v>
          </cell>
          <cell r="H59">
            <v>0</v>
          </cell>
          <cell r="I59">
            <v>0</v>
          </cell>
          <cell r="J59">
            <v>135.2</v>
          </cell>
          <cell r="K59">
            <v>0.19999999999999998</v>
          </cell>
          <cell r="L59">
            <v>540.8</v>
          </cell>
        </row>
        <row r="60">
          <cell r="B60">
            <v>35309</v>
          </cell>
          <cell r="D60">
            <v>676</v>
          </cell>
          <cell r="E60">
            <v>27.04</v>
          </cell>
          <cell r="F60">
            <v>108.16</v>
          </cell>
          <cell r="G60">
            <v>73</v>
          </cell>
          <cell r="H60">
            <v>0</v>
          </cell>
          <cell r="I60">
            <v>73</v>
          </cell>
          <cell r="J60">
            <v>208.2</v>
          </cell>
          <cell r="K60">
            <v>0.3079881656804734</v>
          </cell>
          <cell r="L60">
            <v>467.8</v>
          </cell>
        </row>
        <row r="61">
          <cell r="B61">
            <v>35339</v>
          </cell>
          <cell r="D61">
            <v>676</v>
          </cell>
          <cell r="E61">
            <v>27.04</v>
          </cell>
          <cell r="F61">
            <v>108.16</v>
          </cell>
          <cell r="G61">
            <v>613</v>
          </cell>
          <cell r="H61">
            <v>0</v>
          </cell>
          <cell r="I61">
            <v>613</v>
          </cell>
          <cell r="J61">
            <v>748.2</v>
          </cell>
          <cell r="K61">
            <v>1.1068047337278106</v>
          </cell>
          <cell r="L61">
            <v>-72.20000000000005</v>
          </cell>
        </row>
        <row r="62">
          <cell r="B62">
            <v>35370</v>
          </cell>
          <cell r="D62">
            <v>676</v>
          </cell>
          <cell r="E62">
            <v>27.04</v>
          </cell>
          <cell r="F62">
            <v>108.16</v>
          </cell>
          <cell r="G62">
            <v>156</v>
          </cell>
          <cell r="H62">
            <v>0</v>
          </cell>
          <cell r="I62">
            <v>156</v>
          </cell>
          <cell r="J62">
            <v>291.2</v>
          </cell>
          <cell r="K62">
            <v>0.43076923076923074</v>
          </cell>
          <cell r="L62">
            <v>384.8</v>
          </cell>
        </row>
        <row r="63">
          <cell r="B63">
            <v>35400</v>
          </cell>
          <cell r="D63">
            <v>676</v>
          </cell>
          <cell r="E63">
            <v>27.04</v>
          </cell>
          <cell r="F63">
            <v>108.16</v>
          </cell>
          <cell r="G63">
            <v>842</v>
          </cell>
          <cell r="H63">
            <v>0</v>
          </cell>
          <cell r="I63">
            <v>842</v>
          </cell>
          <cell r="J63">
            <v>977.2</v>
          </cell>
          <cell r="K63">
            <v>1.4455621301775148</v>
          </cell>
          <cell r="L63">
            <v>-301.20000000000005</v>
          </cell>
        </row>
        <row r="64">
          <cell r="B64">
            <v>35431</v>
          </cell>
          <cell r="D64">
            <v>676</v>
          </cell>
          <cell r="E64">
            <v>27.04</v>
          </cell>
          <cell r="F64">
            <v>108.16</v>
          </cell>
          <cell r="G64">
            <v>297</v>
          </cell>
          <cell r="H64">
            <v>0</v>
          </cell>
          <cell r="I64">
            <v>297</v>
          </cell>
          <cell r="J64">
            <v>432.2</v>
          </cell>
          <cell r="K64">
            <v>0.6393491124260355</v>
          </cell>
          <cell r="L64">
            <v>243.8</v>
          </cell>
        </row>
        <row r="66">
          <cell r="A66" t="str">
            <v>CYTD (2/96 - 1/97)</v>
          </cell>
          <cell r="D66">
            <v>8112</v>
          </cell>
          <cell r="E66">
            <v>324.48</v>
          </cell>
          <cell r="F66">
            <v>1297.92</v>
          </cell>
          <cell r="G66">
            <v>3557</v>
          </cell>
          <cell r="H66">
            <v>0</v>
          </cell>
          <cell r="I66">
            <v>3557</v>
          </cell>
          <cell r="J66">
            <v>5179.399999999999</v>
          </cell>
          <cell r="K66">
            <v>0.6384861932938855</v>
          </cell>
          <cell r="L66">
            <v>2932.6000000000004</v>
          </cell>
        </row>
        <row r="67">
          <cell r="A67" t="str">
            <v>Renewal (9/96 - 1/97)</v>
          </cell>
          <cell r="D67">
            <v>3380</v>
          </cell>
          <cell r="E67">
            <v>135.2</v>
          </cell>
          <cell r="F67">
            <v>540.8</v>
          </cell>
          <cell r="G67">
            <v>1981</v>
          </cell>
          <cell r="H67">
            <v>0</v>
          </cell>
          <cell r="I67">
            <v>1981</v>
          </cell>
          <cell r="J67">
            <v>2657</v>
          </cell>
          <cell r="K67">
            <v>0.7860946745562131</v>
          </cell>
          <cell r="L67">
            <v>723</v>
          </cell>
        </row>
        <row r="72">
          <cell r="B72" t="str">
            <v>Preferred Plan Experience #7442</v>
          </cell>
        </row>
        <row r="75">
          <cell r="D75" t="str">
            <v>Billed</v>
          </cell>
          <cell r="E75" t="str">
            <v>Pooling</v>
          </cell>
          <cell r="F75" t="str">
            <v>Retention</v>
          </cell>
          <cell r="G75" t="str">
            <v>Gross</v>
          </cell>
          <cell r="H75" t="str">
            <v>Pooled</v>
          </cell>
          <cell r="I75" t="str">
            <v>Net Paid</v>
          </cell>
          <cell r="J75" t="str">
            <v>Total</v>
          </cell>
          <cell r="K75" t="str">
            <v>Expense</v>
          </cell>
          <cell r="L75" t="str">
            <v>Gain/(Loss)</v>
          </cell>
        </row>
        <row r="76">
          <cell r="D76" t="str">
            <v>Premium</v>
          </cell>
          <cell r="E76" t="str">
            <v>Expense</v>
          </cell>
          <cell r="F76" t="str">
            <v>Charge</v>
          </cell>
          <cell r="G76" t="str">
            <v>Claims</v>
          </cell>
          <cell r="H76" t="str">
            <v>Claims</v>
          </cell>
          <cell r="I76" t="str">
            <v>Claims</v>
          </cell>
          <cell r="J76" t="str">
            <v>Expenses</v>
          </cell>
          <cell r="K76" t="str">
            <v>Loss Ratio</v>
          </cell>
          <cell r="L76" t="str">
            <v>Monthly</v>
          </cell>
        </row>
        <row r="79">
          <cell r="B79">
            <v>35096</v>
          </cell>
          <cell r="D79">
            <v>40919</v>
          </cell>
          <cell r="E79">
            <v>1636.76</v>
          </cell>
          <cell r="F79">
            <v>7160.825</v>
          </cell>
          <cell r="G79">
            <v>19090</v>
          </cell>
          <cell r="H79">
            <v>0</v>
          </cell>
          <cell r="I79">
            <v>19090</v>
          </cell>
          <cell r="J79">
            <v>27887.585</v>
          </cell>
          <cell r="K79">
            <v>0.6815314401622717</v>
          </cell>
          <cell r="L79">
            <v>13031.415</v>
          </cell>
        </row>
        <row r="80">
          <cell r="B80">
            <v>35125</v>
          </cell>
          <cell r="D80">
            <v>39861</v>
          </cell>
          <cell r="E80">
            <v>1594.44</v>
          </cell>
          <cell r="F80">
            <v>6975.674999999999</v>
          </cell>
          <cell r="G80">
            <v>16718</v>
          </cell>
          <cell r="H80">
            <v>0</v>
          </cell>
          <cell r="I80">
            <v>16718</v>
          </cell>
          <cell r="J80">
            <v>25288.114999999998</v>
          </cell>
          <cell r="K80">
            <v>0.634407440856978</v>
          </cell>
          <cell r="L80">
            <v>14572.885000000002</v>
          </cell>
        </row>
        <row r="81">
          <cell r="B81">
            <v>35156</v>
          </cell>
          <cell r="D81">
            <v>39315</v>
          </cell>
          <cell r="E81">
            <v>1572.6000000000001</v>
          </cell>
          <cell r="F81">
            <v>6880.125</v>
          </cell>
          <cell r="G81">
            <v>11658</v>
          </cell>
          <cell r="H81">
            <v>0</v>
          </cell>
          <cell r="I81">
            <v>11658</v>
          </cell>
          <cell r="J81">
            <v>20110.725</v>
          </cell>
          <cell r="K81">
            <v>0.5115280427317818</v>
          </cell>
          <cell r="L81">
            <v>19204.275</v>
          </cell>
        </row>
        <row r="82">
          <cell r="B82">
            <v>35186</v>
          </cell>
          <cell r="D82">
            <v>38925</v>
          </cell>
          <cell r="E82">
            <v>1557</v>
          </cell>
          <cell r="F82">
            <v>6811.875</v>
          </cell>
          <cell r="G82">
            <v>19774</v>
          </cell>
          <cell r="H82">
            <v>0</v>
          </cell>
          <cell r="I82">
            <v>19774</v>
          </cell>
          <cell r="J82">
            <v>28142.875</v>
          </cell>
          <cell r="K82">
            <v>0.7230025690430315</v>
          </cell>
          <cell r="L82">
            <v>10782.125</v>
          </cell>
        </row>
        <row r="83">
          <cell r="B83">
            <v>35217</v>
          </cell>
          <cell r="D83">
            <v>41020</v>
          </cell>
          <cell r="E83">
            <v>1640.8</v>
          </cell>
          <cell r="F83">
            <v>7178.499999999999</v>
          </cell>
          <cell r="G83">
            <v>36854</v>
          </cell>
          <cell r="H83">
            <v>0</v>
          </cell>
          <cell r="I83">
            <v>36854</v>
          </cell>
          <cell r="J83">
            <v>45673.3</v>
          </cell>
          <cell r="K83">
            <v>1.1134397854705023</v>
          </cell>
          <cell r="L83">
            <v>-4653.300000000003</v>
          </cell>
        </row>
        <row r="84">
          <cell r="B84">
            <v>35247</v>
          </cell>
          <cell r="D84">
            <v>40460</v>
          </cell>
          <cell r="E84">
            <v>1618.4</v>
          </cell>
          <cell r="F84">
            <v>7080.5</v>
          </cell>
          <cell r="G84">
            <v>16536</v>
          </cell>
          <cell r="H84">
            <v>0</v>
          </cell>
          <cell r="I84">
            <v>16536</v>
          </cell>
          <cell r="J84">
            <v>25234.9</v>
          </cell>
          <cell r="K84">
            <v>0.6236999505684627</v>
          </cell>
          <cell r="L84">
            <v>15225.099999999999</v>
          </cell>
        </row>
        <row r="85">
          <cell r="B85">
            <v>35278</v>
          </cell>
          <cell r="D85">
            <v>40079</v>
          </cell>
          <cell r="E85">
            <v>1603.16</v>
          </cell>
          <cell r="F85">
            <v>7013.825</v>
          </cell>
          <cell r="G85">
            <v>18125</v>
          </cell>
          <cell r="H85">
            <v>0</v>
          </cell>
          <cell r="I85">
            <v>18125</v>
          </cell>
          <cell r="J85">
            <v>26741.985</v>
          </cell>
          <cell r="K85">
            <v>0.6672318421118292</v>
          </cell>
          <cell r="L85">
            <v>13337.015</v>
          </cell>
        </row>
        <row r="86">
          <cell r="B86">
            <v>35309</v>
          </cell>
          <cell r="D86">
            <v>40078</v>
          </cell>
          <cell r="E86">
            <v>1603.1200000000001</v>
          </cell>
          <cell r="F86">
            <v>7013.65</v>
          </cell>
          <cell r="G86">
            <v>14854</v>
          </cell>
          <cell r="H86">
            <v>0</v>
          </cell>
          <cell r="I86">
            <v>14854</v>
          </cell>
          <cell r="J86">
            <v>23470.77</v>
          </cell>
          <cell r="K86">
            <v>0.5856272768102201</v>
          </cell>
          <cell r="L86">
            <v>16607.23</v>
          </cell>
        </row>
        <row r="87">
          <cell r="B87">
            <v>35339</v>
          </cell>
          <cell r="D87">
            <v>38849</v>
          </cell>
          <cell r="E87">
            <v>1553.96</v>
          </cell>
          <cell r="F87">
            <v>6798.575</v>
          </cell>
          <cell r="G87">
            <v>20279</v>
          </cell>
          <cell r="H87">
            <v>0</v>
          </cell>
          <cell r="I87">
            <v>20279</v>
          </cell>
          <cell r="J87">
            <v>28631.535</v>
          </cell>
          <cell r="K87">
            <v>0.7369954181574815</v>
          </cell>
          <cell r="L87">
            <v>10217.465</v>
          </cell>
        </row>
        <row r="88">
          <cell r="B88">
            <v>35370</v>
          </cell>
          <cell r="D88">
            <v>39276</v>
          </cell>
          <cell r="E88">
            <v>1571.04</v>
          </cell>
          <cell r="F88">
            <v>6873.299999999999</v>
          </cell>
          <cell r="G88">
            <v>17497</v>
          </cell>
          <cell r="H88">
            <v>0</v>
          </cell>
          <cell r="I88">
            <v>17497</v>
          </cell>
          <cell r="J88">
            <v>25941.34</v>
          </cell>
          <cell r="K88">
            <v>0.6604883389347184</v>
          </cell>
          <cell r="L88">
            <v>13334.66</v>
          </cell>
        </row>
        <row r="89">
          <cell r="B89">
            <v>35400</v>
          </cell>
          <cell r="D89">
            <v>40694</v>
          </cell>
          <cell r="E89">
            <v>1627.76</v>
          </cell>
          <cell r="F89">
            <v>7121.45</v>
          </cell>
          <cell r="G89">
            <v>21628</v>
          </cell>
          <cell r="H89">
            <v>0</v>
          </cell>
          <cell r="I89">
            <v>21628</v>
          </cell>
          <cell r="J89">
            <v>30377.21</v>
          </cell>
          <cell r="K89">
            <v>0.7464788420897429</v>
          </cell>
          <cell r="L89">
            <v>10316.79</v>
          </cell>
        </row>
        <row r="90">
          <cell r="B90">
            <v>35431</v>
          </cell>
          <cell r="D90">
            <v>40327</v>
          </cell>
          <cell r="E90">
            <v>1613.08</v>
          </cell>
          <cell r="F90">
            <v>7057.224999999999</v>
          </cell>
          <cell r="G90">
            <v>32830</v>
          </cell>
          <cell r="H90">
            <v>0</v>
          </cell>
          <cell r="I90">
            <v>32830</v>
          </cell>
          <cell r="J90">
            <v>41500.305</v>
          </cell>
          <cell r="K90">
            <v>1.0290947752126367</v>
          </cell>
          <cell r="L90">
            <v>-1173.3050000000003</v>
          </cell>
        </row>
        <row r="92">
          <cell r="A92" t="str">
            <v>CYTD (2/96 - 1/97)</v>
          </cell>
          <cell r="D92">
            <v>479803</v>
          </cell>
          <cell r="E92">
            <v>19192.120000000003</v>
          </cell>
          <cell r="F92">
            <v>83965.525</v>
          </cell>
          <cell r="G92">
            <v>245843</v>
          </cell>
          <cell r="H92">
            <v>0</v>
          </cell>
          <cell r="I92">
            <v>245843</v>
          </cell>
          <cell r="J92">
            <v>349000.645</v>
          </cell>
          <cell r="K92">
            <v>0.7273832072746523</v>
          </cell>
          <cell r="L92">
            <v>130802.35500000001</v>
          </cell>
        </row>
        <row r="93">
          <cell r="A93" t="str">
            <v>Renewal (9/96 - 1/97)</v>
          </cell>
          <cell r="D93">
            <v>199224</v>
          </cell>
          <cell r="E93">
            <v>7968.96</v>
          </cell>
          <cell r="F93">
            <v>34864.2</v>
          </cell>
          <cell r="G93">
            <v>107088</v>
          </cell>
          <cell r="H93">
            <v>0</v>
          </cell>
          <cell r="I93">
            <v>107088</v>
          </cell>
          <cell r="J93">
            <v>149921.16</v>
          </cell>
          <cell r="K93">
            <v>0.7525255993253825</v>
          </cell>
          <cell r="L93">
            <v>49302.84</v>
          </cell>
        </row>
        <row r="96">
          <cell r="B96" t="str">
            <v>Large claim activity (Combined PPO &amp; Traditional Plans):</v>
          </cell>
        </row>
        <row r="98">
          <cell r="B98" t="str">
            <v>Patient</v>
          </cell>
          <cell r="D98" t="str">
            <v>Paid</v>
          </cell>
          <cell r="E98" t="str">
            <v>Diagnosis</v>
          </cell>
        </row>
        <row r="99">
          <cell r="B99" t="str">
            <v>Male Subscriber</v>
          </cell>
          <cell r="D99">
            <v>16135.76</v>
          </cell>
          <cell r="E99" t="str">
            <v>Heart Disease - Large claims paid in January</v>
          </cell>
        </row>
        <row r="100">
          <cell r="B100" t="str">
            <v>Male Spouse</v>
          </cell>
          <cell r="D100">
            <v>11314</v>
          </cell>
          <cell r="E100" t="str">
            <v>Intestinal Disorder</v>
          </cell>
        </row>
        <row r="102">
          <cell r="A102" t="str">
            <v>Rate Stabilization Reserve (RSR)</v>
          </cell>
        </row>
        <row r="106">
          <cell r="D106" t="str">
            <v>  RSR as of February 1, 1994:</v>
          </cell>
          <cell r="J106">
            <v>-378625</v>
          </cell>
        </row>
        <row r="108">
          <cell r="D108" t="str">
            <v>  2/1/94 to 2/1/95 Contract Year Gain or (Loss):</v>
          </cell>
          <cell r="J108">
            <v>30791</v>
          </cell>
        </row>
        <row r="111">
          <cell r="D111" t="str">
            <v>  RSR as of February 1, 1995:</v>
          </cell>
          <cell r="J111">
            <v>-347834</v>
          </cell>
        </row>
        <row r="113">
          <cell r="D113" t="str">
            <v>  2/1/95 to 2/1/96 Contract Year Gain or (Loss):</v>
          </cell>
          <cell r="J113">
            <v>92407</v>
          </cell>
        </row>
        <row r="116">
          <cell r="D116" t="str">
            <v>  RSR as of February 1, 1996:</v>
          </cell>
          <cell r="J116">
            <v>-255427</v>
          </cell>
        </row>
        <row r="118">
          <cell r="D118" t="str">
            <v>  Current Contract Year Gain or (Loss):</v>
          </cell>
          <cell r="J118">
            <v>133734.955</v>
          </cell>
        </row>
        <row r="119">
          <cell r="E119" t="str">
            <v>CYTD (2/96 - 1/97)</v>
          </cell>
        </row>
        <row r="122">
          <cell r="D122" t="str">
            <v>  Gain or (Loss) to Date:</v>
          </cell>
          <cell r="J122">
            <v>-121692.04500000001</v>
          </cell>
        </row>
      </sheetData>
      <sheetData sheetId="2">
        <row r="2">
          <cell r="A2" t="str">
            <v>Medical Plan Experience - MSC</v>
          </cell>
        </row>
        <row r="21">
          <cell r="I21" t="str">
            <v>Contract Period</v>
          </cell>
        </row>
        <row r="22">
          <cell r="I22" t="str">
            <v>Feb 97 - Jan 98</v>
          </cell>
        </row>
        <row r="24">
          <cell r="C24" t="str">
            <v>Premium</v>
          </cell>
          <cell r="I24">
            <v>282500.6</v>
          </cell>
        </row>
        <row r="26">
          <cell r="C26" t="str">
            <v>Administration</v>
          </cell>
          <cell r="I26">
            <v>49303.473000000005</v>
          </cell>
        </row>
        <row r="28">
          <cell r="C28" t="str">
            <v>Pooling Expense</v>
          </cell>
          <cell r="I28">
            <v>11300.024</v>
          </cell>
        </row>
        <row r="30">
          <cell r="C30" t="str">
            <v>Net Paid Claims</v>
          </cell>
          <cell r="I30">
            <v>210448.69999999998</v>
          </cell>
        </row>
        <row r="32">
          <cell r="C32" t="str">
            <v>Total Expenses</v>
          </cell>
          <cell r="I32">
            <v>271051.197</v>
          </cell>
        </row>
        <row r="34">
          <cell r="C34" t="str">
            <v>Expense Loss Ratio</v>
          </cell>
          <cell r="I34">
            <v>0.9594712259018211</v>
          </cell>
        </row>
        <row r="36">
          <cell r="C36" t="str">
            <v>* PrimeCare added 2-1-97.  Experience is not available.</v>
          </cell>
        </row>
        <row r="37">
          <cell r="A37" t="str">
            <v>Combined Medical Plan Experience</v>
          </cell>
        </row>
        <row r="39">
          <cell r="D39" t="str">
            <v>A</v>
          </cell>
          <cell r="E39" t="str">
            <v>B</v>
          </cell>
          <cell r="F39" t="str">
            <v>C</v>
          </cell>
          <cell r="G39" t="str">
            <v>D</v>
          </cell>
          <cell r="H39" t="str">
            <v>E</v>
          </cell>
          <cell r="I39" t="str">
            <v>F</v>
          </cell>
          <cell r="J39" t="str">
            <v>G</v>
          </cell>
          <cell r="K39" t="str">
            <v>H</v>
          </cell>
          <cell r="L39" t="str">
            <v>I</v>
          </cell>
        </row>
        <row r="40">
          <cell r="D40" t="str">
            <v>Billed</v>
          </cell>
          <cell r="E40" t="str">
            <v>Pooling</v>
          </cell>
          <cell r="F40" t="str">
            <v>Retention</v>
          </cell>
          <cell r="G40" t="str">
            <v>Gross</v>
          </cell>
          <cell r="H40" t="str">
            <v>Pooled</v>
          </cell>
          <cell r="I40" t="str">
            <v>Net Paid</v>
          </cell>
          <cell r="J40" t="str">
            <v>Total</v>
          </cell>
          <cell r="K40" t="str">
            <v>Expense</v>
          </cell>
          <cell r="L40" t="str">
            <v>Gain/(Loss)</v>
          </cell>
        </row>
        <row r="41">
          <cell r="D41" t="str">
            <v>Premium</v>
          </cell>
          <cell r="E41" t="str">
            <v>Expense</v>
          </cell>
          <cell r="F41" t="str">
            <v>Charge</v>
          </cell>
          <cell r="G41" t="str">
            <v>Claims</v>
          </cell>
          <cell r="H41" t="str">
            <v>Claims</v>
          </cell>
          <cell r="I41" t="str">
            <v>Claims</v>
          </cell>
          <cell r="J41" t="str">
            <v>Expenses</v>
          </cell>
          <cell r="K41" t="str">
            <v>Loss Ratio</v>
          </cell>
          <cell r="L41" t="str">
            <v>Monthly</v>
          </cell>
        </row>
        <row r="42">
          <cell r="H42" t="str">
            <v>($75,000)</v>
          </cell>
          <cell r="I42" t="str">
            <v>D-E</v>
          </cell>
          <cell r="J42" t="str">
            <v>B+C+F</v>
          </cell>
          <cell r="K42" t="str">
            <v>G/A</v>
          </cell>
          <cell r="L42" t="str">
            <v>A-G</v>
          </cell>
        </row>
        <row r="44">
          <cell r="B44">
            <v>35462</v>
          </cell>
          <cell r="D44">
            <v>39038</v>
          </cell>
          <cell r="E44">
            <v>1561.52</v>
          </cell>
          <cell r="F44">
            <v>6808.28</v>
          </cell>
          <cell r="G44">
            <v>19232</v>
          </cell>
          <cell r="H44">
            <v>0</v>
          </cell>
          <cell r="I44">
            <v>19232</v>
          </cell>
          <cell r="J44">
            <v>27601.8</v>
          </cell>
          <cell r="K44">
            <v>0.7070495414724115</v>
          </cell>
          <cell r="L44">
            <v>11436.199999999999</v>
          </cell>
        </row>
        <row r="45">
          <cell r="B45">
            <v>35490</v>
          </cell>
          <cell r="D45">
            <v>23482</v>
          </cell>
          <cell r="E45">
            <v>939.2800000000001</v>
          </cell>
          <cell r="F45">
            <v>4096.419999999999</v>
          </cell>
          <cell r="G45">
            <v>8852</v>
          </cell>
          <cell r="H45">
            <v>0</v>
          </cell>
          <cell r="I45">
            <v>8852</v>
          </cell>
          <cell r="J45">
            <v>13887.699999999999</v>
          </cell>
          <cell r="K45">
            <v>0.5914189592027936</v>
          </cell>
          <cell r="L45">
            <v>9594.300000000001</v>
          </cell>
        </row>
        <row r="46">
          <cell r="B46">
            <v>35521</v>
          </cell>
          <cell r="D46">
            <v>22465</v>
          </cell>
          <cell r="E46">
            <v>898.6</v>
          </cell>
          <cell r="F46">
            <v>3925.0449999999996</v>
          </cell>
          <cell r="G46">
            <v>37312</v>
          </cell>
          <cell r="H46">
            <v>0</v>
          </cell>
          <cell r="I46">
            <v>37312</v>
          </cell>
          <cell r="J46">
            <v>42135.645000000004</v>
          </cell>
          <cell r="K46">
            <v>1.8756129534831962</v>
          </cell>
          <cell r="L46">
            <v>-19670.645000000004</v>
          </cell>
        </row>
        <row r="47">
          <cell r="B47">
            <v>35551</v>
          </cell>
          <cell r="D47">
            <v>23316</v>
          </cell>
          <cell r="E47">
            <v>932.64</v>
          </cell>
          <cell r="F47">
            <v>4069.0799999999995</v>
          </cell>
          <cell r="G47">
            <v>23522</v>
          </cell>
          <cell r="H47">
            <v>0</v>
          </cell>
          <cell r="I47">
            <v>23522</v>
          </cell>
          <cell r="J47">
            <v>28523.719999999998</v>
          </cell>
          <cell r="K47">
            <v>1.2233539200548977</v>
          </cell>
          <cell r="L47">
            <v>-5207.719999999999</v>
          </cell>
        </row>
        <row r="48">
          <cell r="B48">
            <v>35582</v>
          </cell>
          <cell r="D48">
            <v>22674.4</v>
          </cell>
          <cell r="E48">
            <v>906.976</v>
          </cell>
          <cell r="F48">
            <v>3957.859</v>
          </cell>
          <cell r="G48">
            <v>11206</v>
          </cell>
          <cell r="H48">
            <v>0</v>
          </cell>
          <cell r="I48">
            <v>11206</v>
          </cell>
          <cell r="J48">
            <v>16070.835</v>
          </cell>
          <cell r="K48">
            <v>0.7087656123205023</v>
          </cell>
          <cell r="L48">
            <v>6603.5650000000005</v>
          </cell>
        </row>
        <row r="49">
          <cell r="B49">
            <v>35612</v>
          </cell>
          <cell r="D49">
            <v>22923.4</v>
          </cell>
          <cell r="E49">
            <v>916.936</v>
          </cell>
          <cell r="F49">
            <v>4001.4339999999997</v>
          </cell>
          <cell r="G49">
            <v>16199</v>
          </cell>
          <cell r="H49">
            <v>0</v>
          </cell>
          <cell r="I49">
            <v>16199</v>
          </cell>
          <cell r="J49">
            <v>21117.37</v>
          </cell>
          <cell r="K49">
            <v>0.9212145667745621</v>
          </cell>
          <cell r="L49">
            <v>1806.0300000000007</v>
          </cell>
        </row>
        <row r="50">
          <cell r="B50">
            <v>35643</v>
          </cell>
          <cell r="D50">
            <v>22631.4</v>
          </cell>
          <cell r="E50">
            <v>905.256</v>
          </cell>
          <cell r="F50">
            <v>3950.334</v>
          </cell>
          <cell r="G50">
            <v>17308</v>
          </cell>
          <cell r="H50">
            <v>0</v>
          </cell>
          <cell r="I50">
            <v>17308</v>
          </cell>
          <cell r="J50">
            <v>22163.59</v>
          </cell>
          <cell r="K50">
            <v>0.979329162137561</v>
          </cell>
          <cell r="L50">
            <v>467.8099999999994</v>
          </cell>
        </row>
        <row r="51">
          <cell r="B51">
            <v>35674</v>
          </cell>
          <cell r="D51">
            <v>21595.4</v>
          </cell>
          <cell r="E51">
            <v>863.816</v>
          </cell>
          <cell r="F51">
            <v>3769.0339999999997</v>
          </cell>
          <cell r="G51">
            <v>16203</v>
          </cell>
          <cell r="H51">
            <v>0</v>
          </cell>
          <cell r="I51">
            <v>16203</v>
          </cell>
          <cell r="J51">
            <v>20835.85</v>
          </cell>
          <cell r="K51">
            <v>0.9648281578484306</v>
          </cell>
          <cell r="L51">
            <v>759.550000000001</v>
          </cell>
        </row>
        <row r="52">
          <cell r="B52">
            <v>35704</v>
          </cell>
          <cell r="D52">
            <v>20671.4</v>
          </cell>
          <cell r="E52">
            <v>826.856</v>
          </cell>
          <cell r="F52">
            <v>3607.334</v>
          </cell>
          <cell r="G52">
            <v>18107.9</v>
          </cell>
          <cell r="H52">
            <v>0</v>
          </cell>
          <cell r="I52">
            <v>18107.9</v>
          </cell>
          <cell r="J52">
            <v>22542.09</v>
          </cell>
          <cell r="K52">
            <v>1.0904965314395734</v>
          </cell>
          <cell r="L52">
            <v>-1870.6900000000005</v>
          </cell>
        </row>
        <row r="53">
          <cell r="B53">
            <v>35735</v>
          </cell>
          <cell r="D53">
            <v>21506.4</v>
          </cell>
          <cell r="E53">
            <v>860.256</v>
          </cell>
          <cell r="F53">
            <v>3753.459</v>
          </cell>
          <cell r="G53">
            <v>15867.9</v>
          </cell>
          <cell r="H53">
            <v>0</v>
          </cell>
          <cell r="I53">
            <v>15867.9</v>
          </cell>
          <cell r="J53">
            <v>20481.614999999998</v>
          </cell>
          <cell r="K53">
            <v>0.9523497656511548</v>
          </cell>
          <cell r="L53">
            <v>1024.7850000000021</v>
          </cell>
        </row>
        <row r="54">
          <cell r="B54">
            <v>35765</v>
          </cell>
          <cell r="D54">
            <v>21128.800000000003</v>
          </cell>
          <cell r="E54">
            <v>845.152</v>
          </cell>
          <cell r="F54">
            <v>3687.379</v>
          </cell>
          <cell r="G54">
            <v>13981.9</v>
          </cell>
          <cell r="H54">
            <v>0</v>
          </cell>
          <cell r="I54">
            <v>13981.9</v>
          </cell>
          <cell r="J54">
            <v>18514.431</v>
          </cell>
          <cell r="K54">
            <v>0.8762651452046495</v>
          </cell>
          <cell r="L54">
            <v>2614.3690000000006</v>
          </cell>
        </row>
        <row r="55">
          <cell r="B55">
            <v>35796</v>
          </cell>
          <cell r="D55">
            <v>21068.4</v>
          </cell>
          <cell r="E55">
            <v>842.7360000000001</v>
          </cell>
          <cell r="F55">
            <v>3676.815</v>
          </cell>
          <cell r="G55">
            <v>12657</v>
          </cell>
          <cell r="H55">
            <v>0</v>
          </cell>
          <cell r="I55">
            <v>12657</v>
          </cell>
          <cell r="J55">
            <v>17176.551</v>
          </cell>
          <cell r="K55">
            <v>0.8152755311271856</v>
          </cell>
          <cell r="L55">
            <v>3891.849000000002</v>
          </cell>
        </row>
        <row r="57">
          <cell r="A57" t="str">
            <v>Contract Period</v>
          </cell>
        </row>
        <row r="58">
          <cell r="B58" t="str">
            <v>2/97 - 1/98</v>
          </cell>
          <cell r="D58">
            <v>282500.6</v>
          </cell>
          <cell r="E58">
            <v>11300.024</v>
          </cell>
          <cell r="F58">
            <v>49303.473000000005</v>
          </cell>
          <cell r="G58">
            <v>210448.69999999998</v>
          </cell>
          <cell r="H58">
            <v>0</v>
          </cell>
          <cell r="I58">
            <v>210448.69999999998</v>
          </cell>
          <cell r="J58">
            <v>271051.197</v>
          </cell>
          <cell r="K58">
            <v>0.9594712259018211</v>
          </cell>
          <cell r="L58">
            <v>11449.403000000002</v>
          </cell>
        </row>
        <row r="60">
          <cell r="A60" t="e">
            <v>#VALUE!</v>
          </cell>
          <cell r="B60" t="str">
            <v>Mo. Ave</v>
          </cell>
          <cell r="D60">
            <v>23541.716666666664</v>
          </cell>
          <cell r="E60">
            <v>941.6686666666666</v>
          </cell>
          <cell r="F60">
            <v>4108.539416666667</v>
          </cell>
          <cell r="G60">
            <v>17537.391666666666</v>
          </cell>
          <cell r="H60">
            <v>0</v>
          </cell>
          <cell r="I60">
            <v>17537.391666666666</v>
          </cell>
          <cell r="J60">
            <v>22587.599749999998</v>
          </cell>
          <cell r="K60">
            <v>0.9594712259018211</v>
          </cell>
          <cell r="L60">
            <v>954.1169166666668</v>
          </cell>
        </row>
        <row r="62">
          <cell r="C62" t="str">
            <v>* PrimeCare added 2-1-97.  Experience is not available.</v>
          </cell>
        </row>
        <row r="65">
          <cell r="A65" t="str">
            <v>Traditional Plan Experience #1806</v>
          </cell>
        </row>
        <row r="67">
          <cell r="D67" t="str">
            <v>A</v>
          </cell>
          <cell r="E67" t="str">
            <v>B</v>
          </cell>
          <cell r="F67" t="str">
            <v>C</v>
          </cell>
          <cell r="G67" t="str">
            <v>D</v>
          </cell>
          <cell r="H67" t="str">
            <v>E</v>
          </cell>
          <cell r="I67" t="str">
            <v>F</v>
          </cell>
          <cell r="J67" t="str">
            <v>G</v>
          </cell>
          <cell r="K67" t="str">
            <v>H</v>
          </cell>
          <cell r="L67" t="str">
            <v>I</v>
          </cell>
        </row>
        <row r="68">
          <cell r="D68" t="str">
            <v>Billed</v>
          </cell>
          <cell r="E68" t="str">
            <v>Pooling</v>
          </cell>
          <cell r="F68" t="str">
            <v>Retention</v>
          </cell>
          <cell r="G68" t="str">
            <v>Gross</v>
          </cell>
          <cell r="H68" t="str">
            <v>Pooled</v>
          </cell>
          <cell r="I68" t="str">
            <v>Net Paid</v>
          </cell>
          <cell r="J68" t="str">
            <v>Total</v>
          </cell>
          <cell r="K68" t="str">
            <v>Expense</v>
          </cell>
          <cell r="L68" t="str">
            <v>Gain/(Loss)</v>
          </cell>
        </row>
        <row r="69">
          <cell r="D69" t="str">
            <v>Premium</v>
          </cell>
          <cell r="E69" t="str">
            <v>Expense</v>
          </cell>
          <cell r="F69" t="str">
            <v>Charge</v>
          </cell>
          <cell r="G69" t="str">
            <v>Claims</v>
          </cell>
          <cell r="H69" t="str">
            <v>Claims</v>
          </cell>
          <cell r="I69" t="str">
            <v>Claims</v>
          </cell>
          <cell r="J69" t="str">
            <v>Expenses</v>
          </cell>
          <cell r="K69" t="str">
            <v>Loss Ratio</v>
          </cell>
          <cell r="L69" t="str">
            <v>Monthly</v>
          </cell>
        </row>
        <row r="70">
          <cell r="H70" t="str">
            <v>($75,000)</v>
          </cell>
          <cell r="I70" t="str">
            <v>D-E</v>
          </cell>
          <cell r="J70" t="str">
            <v>B+C+F</v>
          </cell>
          <cell r="K70" t="str">
            <v>G/A</v>
          </cell>
          <cell r="L70" t="str">
            <v>A-G</v>
          </cell>
        </row>
        <row r="72">
          <cell r="B72">
            <v>35462</v>
          </cell>
          <cell r="D72">
            <v>1558</v>
          </cell>
          <cell r="E72">
            <v>62.32</v>
          </cell>
          <cell r="F72">
            <v>249.28</v>
          </cell>
          <cell r="G72">
            <v>216</v>
          </cell>
          <cell r="H72">
            <v>0</v>
          </cell>
          <cell r="I72">
            <v>216</v>
          </cell>
          <cell r="J72">
            <v>527.6</v>
          </cell>
          <cell r="K72">
            <v>0.3386392811296534</v>
          </cell>
          <cell r="L72">
            <v>1030.4</v>
          </cell>
        </row>
        <row r="73">
          <cell r="B73">
            <v>35490</v>
          </cell>
          <cell r="D73">
            <v>862</v>
          </cell>
          <cell r="E73">
            <v>34.480000000000004</v>
          </cell>
          <cell r="F73">
            <v>137.92000000000002</v>
          </cell>
          <cell r="G73">
            <v>159</v>
          </cell>
          <cell r="H73">
            <v>0</v>
          </cell>
          <cell r="I73">
            <v>159</v>
          </cell>
          <cell r="J73">
            <v>331.40000000000003</v>
          </cell>
          <cell r="K73">
            <v>0.38445475638051047</v>
          </cell>
          <cell r="L73">
            <v>530.5999999999999</v>
          </cell>
        </row>
        <row r="74">
          <cell r="B74">
            <v>35521</v>
          </cell>
          <cell r="D74">
            <v>422</v>
          </cell>
          <cell r="E74">
            <v>16.88</v>
          </cell>
          <cell r="F74">
            <v>67.52</v>
          </cell>
          <cell r="G74">
            <v>2140</v>
          </cell>
          <cell r="H74">
            <v>0</v>
          </cell>
          <cell r="I74">
            <v>2140</v>
          </cell>
          <cell r="J74">
            <v>2224.4</v>
          </cell>
          <cell r="K74">
            <v>5.271090047393365</v>
          </cell>
          <cell r="L74">
            <v>-1802.4</v>
          </cell>
        </row>
        <row r="75">
          <cell r="B75">
            <v>35551</v>
          </cell>
          <cell r="D75">
            <v>748</v>
          </cell>
          <cell r="E75">
            <v>29.92</v>
          </cell>
          <cell r="F75">
            <v>119.68</v>
          </cell>
          <cell r="G75">
            <v>656</v>
          </cell>
          <cell r="H75">
            <v>0</v>
          </cell>
          <cell r="I75">
            <v>656</v>
          </cell>
          <cell r="J75">
            <v>805.6</v>
          </cell>
          <cell r="K75">
            <v>1.077005347593583</v>
          </cell>
          <cell r="L75">
            <v>-57.60000000000002</v>
          </cell>
        </row>
        <row r="76">
          <cell r="B76">
            <v>35582</v>
          </cell>
          <cell r="D76">
            <v>677.4</v>
          </cell>
          <cell r="E76">
            <v>27.096</v>
          </cell>
          <cell r="F76">
            <v>108.384</v>
          </cell>
          <cell r="G76">
            <v>61</v>
          </cell>
          <cell r="H76">
            <v>0</v>
          </cell>
          <cell r="I76">
            <v>61</v>
          </cell>
          <cell r="J76">
            <v>196.48</v>
          </cell>
          <cell r="K76">
            <v>0.29005019191024506</v>
          </cell>
          <cell r="L76">
            <v>480.91999999999996</v>
          </cell>
        </row>
        <row r="77">
          <cell r="B77">
            <v>35612</v>
          </cell>
          <cell r="D77">
            <v>677.4</v>
          </cell>
          <cell r="E77">
            <v>27.096</v>
          </cell>
          <cell r="F77">
            <v>108.384</v>
          </cell>
          <cell r="G77">
            <v>0</v>
          </cell>
          <cell r="H77">
            <v>0</v>
          </cell>
          <cell r="I77">
            <v>0</v>
          </cell>
          <cell r="J77">
            <v>135.48</v>
          </cell>
          <cell r="K77">
            <v>0.19999999999999998</v>
          </cell>
          <cell r="L77">
            <v>541.92</v>
          </cell>
        </row>
        <row r="78">
          <cell r="B78">
            <v>35643</v>
          </cell>
          <cell r="D78">
            <v>677.4</v>
          </cell>
          <cell r="E78">
            <v>27.096</v>
          </cell>
          <cell r="F78">
            <v>108.384</v>
          </cell>
          <cell r="G78">
            <v>42</v>
          </cell>
          <cell r="H78">
            <v>0</v>
          </cell>
          <cell r="I78">
            <v>42</v>
          </cell>
          <cell r="J78">
            <v>177.48</v>
          </cell>
          <cell r="K78">
            <v>0.26200177147918513</v>
          </cell>
          <cell r="L78">
            <v>499.91999999999996</v>
          </cell>
        </row>
        <row r="79">
          <cell r="B79">
            <v>35674</v>
          </cell>
          <cell r="D79">
            <v>677.4</v>
          </cell>
          <cell r="E79">
            <v>27.096</v>
          </cell>
          <cell r="F79">
            <v>108.384</v>
          </cell>
          <cell r="G79">
            <v>143</v>
          </cell>
          <cell r="H79">
            <v>0</v>
          </cell>
          <cell r="I79">
            <v>143</v>
          </cell>
          <cell r="J79">
            <v>278.48</v>
          </cell>
          <cell r="K79">
            <v>0.4111012695600827</v>
          </cell>
          <cell r="L79">
            <v>398.91999999999996</v>
          </cell>
        </row>
        <row r="80">
          <cell r="B80">
            <v>35704</v>
          </cell>
          <cell r="D80">
            <v>677.4</v>
          </cell>
          <cell r="E80">
            <v>27.096</v>
          </cell>
          <cell r="F80">
            <v>108.384</v>
          </cell>
          <cell r="G80">
            <v>3054.5</v>
          </cell>
          <cell r="H80">
            <v>0</v>
          </cell>
          <cell r="I80">
            <v>3054.5</v>
          </cell>
          <cell r="J80">
            <v>3189.98</v>
          </cell>
          <cell r="K80">
            <v>4.709152642456451</v>
          </cell>
          <cell r="L80">
            <v>-2512.58</v>
          </cell>
        </row>
        <row r="81">
          <cell r="B81">
            <v>35735</v>
          </cell>
          <cell r="D81">
            <v>677.4</v>
          </cell>
          <cell r="E81">
            <v>27.096</v>
          </cell>
          <cell r="F81">
            <v>108.384</v>
          </cell>
          <cell r="G81">
            <v>4211.5</v>
          </cell>
          <cell r="H81">
            <v>0</v>
          </cell>
          <cell r="I81">
            <v>4211.5</v>
          </cell>
          <cell r="J81">
            <v>4346.98</v>
          </cell>
          <cell r="K81">
            <v>6.4171538234425745</v>
          </cell>
          <cell r="L81">
            <v>-3669.5799999999995</v>
          </cell>
        </row>
        <row r="82">
          <cell r="B82">
            <v>35765</v>
          </cell>
          <cell r="D82">
            <v>677.4</v>
          </cell>
          <cell r="E82">
            <v>27.096</v>
          </cell>
          <cell r="F82">
            <v>108.384</v>
          </cell>
          <cell r="G82">
            <v>64.5</v>
          </cell>
          <cell r="H82">
            <v>0</v>
          </cell>
          <cell r="I82">
            <v>64.5</v>
          </cell>
          <cell r="J82">
            <v>199.98</v>
          </cell>
          <cell r="K82">
            <v>0.29521700620017716</v>
          </cell>
          <cell r="L82">
            <v>477.41999999999996</v>
          </cell>
        </row>
        <row r="83">
          <cell r="B83">
            <v>35796</v>
          </cell>
          <cell r="D83">
            <v>677</v>
          </cell>
          <cell r="E83">
            <v>27.080000000000002</v>
          </cell>
          <cell r="F83">
            <v>108.32000000000001</v>
          </cell>
          <cell r="G83">
            <v>275.6</v>
          </cell>
          <cell r="H83">
            <v>0</v>
          </cell>
          <cell r="I83">
            <v>275.6</v>
          </cell>
          <cell r="J83">
            <v>411</v>
          </cell>
          <cell r="K83">
            <v>0.6070901033973413</v>
          </cell>
          <cell r="L83">
            <v>266</v>
          </cell>
        </row>
        <row r="85">
          <cell r="A85" t="str">
            <v>Contract Period</v>
          </cell>
        </row>
        <row r="86">
          <cell r="B86" t="str">
            <v>2/97 - 1/98</v>
          </cell>
          <cell r="D86">
            <v>9008.799999999997</v>
          </cell>
          <cell r="E86">
            <v>360.35200000000003</v>
          </cell>
          <cell r="F86">
            <v>1441.4080000000001</v>
          </cell>
          <cell r="G86">
            <v>11023.1</v>
          </cell>
          <cell r="H86">
            <v>0</v>
          </cell>
          <cell r="I86">
            <v>11023.1</v>
          </cell>
          <cell r="J86">
            <v>12824.859999999999</v>
          </cell>
          <cell r="K86">
            <v>1.4235924873457066</v>
          </cell>
          <cell r="L86">
            <v>-3816.0599999999995</v>
          </cell>
        </row>
        <row r="88">
          <cell r="A88" t="e">
            <v>#VALUE!</v>
          </cell>
          <cell r="B88" t="str">
            <v>Mo. Ave</v>
          </cell>
          <cell r="D88">
            <v>750.7333333333331</v>
          </cell>
          <cell r="E88">
            <v>30.029333333333337</v>
          </cell>
          <cell r="F88">
            <v>120.11733333333335</v>
          </cell>
          <cell r="G88">
            <v>918.5916666666667</v>
          </cell>
          <cell r="H88">
            <v>0</v>
          </cell>
          <cell r="I88">
            <v>918.5916666666667</v>
          </cell>
          <cell r="J88">
            <v>1068.7383333333332</v>
          </cell>
          <cell r="K88">
            <v>1.4235924873457066</v>
          </cell>
          <cell r="L88">
            <v>-318.00499999999994</v>
          </cell>
        </row>
        <row r="90">
          <cell r="A90" t="str">
            <v>Preferred Plan Experience #7442</v>
          </cell>
        </row>
        <row r="92">
          <cell r="D92" t="str">
            <v>A</v>
          </cell>
          <cell r="E92" t="str">
            <v>B</v>
          </cell>
          <cell r="F92" t="str">
            <v>C</v>
          </cell>
          <cell r="G92" t="str">
            <v>D</v>
          </cell>
          <cell r="H92" t="str">
            <v>E</v>
          </cell>
          <cell r="I92" t="str">
            <v>F</v>
          </cell>
          <cell r="J92" t="str">
            <v>G</v>
          </cell>
          <cell r="K92" t="str">
            <v>H</v>
          </cell>
          <cell r="L92" t="str">
            <v>I</v>
          </cell>
        </row>
        <row r="93">
          <cell r="D93" t="str">
            <v>Billed</v>
          </cell>
          <cell r="E93" t="str">
            <v>Pooling</v>
          </cell>
          <cell r="F93" t="str">
            <v>Retention</v>
          </cell>
          <cell r="G93" t="str">
            <v>Gross</v>
          </cell>
          <cell r="H93" t="str">
            <v>Pooled</v>
          </cell>
          <cell r="I93" t="str">
            <v>Net Paid</v>
          </cell>
          <cell r="J93" t="str">
            <v>Total</v>
          </cell>
          <cell r="K93" t="str">
            <v>Expense</v>
          </cell>
          <cell r="L93" t="str">
            <v>Gain/(Loss)</v>
          </cell>
        </row>
        <row r="94">
          <cell r="D94" t="str">
            <v>Premium</v>
          </cell>
          <cell r="E94" t="str">
            <v>Expense</v>
          </cell>
          <cell r="F94" t="str">
            <v>Charge</v>
          </cell>
          <cell r="G94" t="str">
            <v>Claims</v>
          </cell>
          <cell r="H94" t="str">
            <v>Claims</v>
          </cell>
          <cell r="I94" t="str">
            <v>Claims</v>
          </cell>
          <cell r="J94" t="str">
            <v>Expenses</v>
          </cell>
          <cell r="K94" t="str">
            <v>Loss Ratio</v>
          </cell>
          <cell r="L94" t="str">
            <v>Monthly</v>
          </cell>
        </row>
        <row r="95">
          <cell r="H95" t="str">
            <v>($75,000)</v>
          </cell>
          <cell r="I95" t="str">
            <v>D-E</v>
          </cell>
          <cell r="J95" t="str">
            <v>B+C+F</v>
          </cell>
          <cell r="K95" t="str">
            <v>G/A</v>
          </cell>
          <cell r="L95" t="str">
            <v>A-G</v>
          </cell>
        </row>
        <row r="97">
          <cell r="B97">
            <v>35462</v>
          </cell>
          <cell r="D97">
            <v>37480</v>
          </cell>
          <cell r="E97">
            <v>1499.2</v>
          </cell>
          <cell r="F97">
            <v>6559</v>
          </cell>
          <cell r="G97">
            <v>19016</v>
          </cell>
          <cell r="H97">
            <v>0</v>
          </cell>
          <cell r="I97">
            <v>19016</v>
          </cell>
          <cell r="J97">
            <v>27074.2</v>
          </cell>
          <cell r="K97">
            <v>0.7223639274279616</v>
          </cell>
          <cell r="L97">
            <v>10405.8</v>
          </cell>
        </row>
        <row r="98">
          <cell r="B98">
            <v>35490</v>
          </cell>
          <cell r="D98">
            <v>22620</v>
          </cell>
          <cell r="E98">
            <v>904.8000000000001</v>
          </cell>
          <cell r="F98">
            <v>3958.4999999999995</v>
          </cell>
          <cell r="G98">
            <v>8693</v>
          </cell>
          <cell r="H98">
            <v>0</v>
          </cell>
          <cell r="I98">
            <v>8693</v>
          </cell>
          <cell r="J98">
            <v>13556.3</v>
          </cell>
          <cell r="K98">
            <v>0.5993059239610964</v>
          </cell>
          <cell r="L98">
            <v>9063.7</v>
          </cell>
        </row>
        <row r="99">
          <cell r="B99">
            <v>35521</v>
          </cell>
          <cell r="D99">
            <v>22043</v>
          </cell>
          <cell r="E99">
            <v>881.72</v>
          </cell>
          <cell r="F99">
            <v>3857.5249999999996</v>
          </cell>
          <cell r="G99">
            <v>35172</v>
          </cell>
          <cell r="H99">
            <v>0</v>
          </cell>
          <cell r="I99">
            <v>35172</v>
          </cell>
          <cell r="J99">
            <v>39911.245</v>
          </cell>
          <cell r="K99">
            <v>1.8106085832236993</v>
          </cell>
          <cell r="L99">
            <v>-17868.245000000003</v>
          </cell>
        </row>
        <row r="100">
          <cell r="B100">
            <v>35551</v>
          </cell>
          <cell r="D100">
            <v>22568</v>
          </cell>
          <cell r="E100">
            <v>902.72</v>
          </cell>
          <cell r="F100">
            <v>3949.3999999999996</v>
          </cell>
          <cell r="G100">
            <v>22866</v>
          </cell>
          <cell r="H100">
            <v>0</v>
          </cell>
          <cell r="I100">
            <v>22866</v>
          </cell>
          <cell r="J100">
            <v>27718.12</v>
          </cell>
          <cell r="K100">
            <v>1.2282045373980857</v>
          </cell>
          <cell r="L100">
            <v>-5150.119999999999</v>
          </cell>
        </row>
        <row r="101">
          <cell r="B101">
            <v>35582</v>
          </cell>
          <cell r="D101">
            <v>21997</v>
          </cell>
          <cell r="E101">
            <v>879.88</v>
          </cell>
          <cell r="F101">
            <v>3849.475</v>
          </cell>
          <cell r="G101">
            <v>11145</v>
          </cell>
          <cell r="H101">
            <v>0</v>
          </cell>
          <cell r="I101">
            <v>11145</v>
          </cell>
          <cell r="J101">
            <v>15874.355</v>
          </cell>
          <cell r="K101">
            <v>0.721659999090785</v>
          </cell>
          <cell r="L101">
            <v>6122.645</v>
          </cell>
        </row>
        <row r="102">
          <cell r="B102">
            <v>35612</v>
          </cell>
          <cell r="D102">
            <v>22246</v>
          </cell>
          <cell r="E102">
            <v>889.84</v>
          </cell>
          <cell r="F102">
            <v>3893.0499999999997</v>
          </cell>
          <cell r="G102">
            <v>16199</v>
          </cell>
          <cell r="H102">
            <v>0</v>
          </cell>
          <cell r="I102">
            <v>16199</v>
          </cell>
          <cell r="J102">
            <v>20981.89</v>
          </cell>
          <cell r="K102">
            <v>0.9431758518385327</v>
          </cell>
          <cell r="L102">
            <v>1264.1100000000006</v>
          </cell>
        </row>
        <row r="103">
          <cell r="B103">
            <v>35643</v>
          </cell>
          <cell r="D103">
            <v>21954</v>
          </cell>
          <cell r="E103">
            <v>878.16</v>
          </cell>
          <cell r="F103">
            <v>3841.95</v>
          </cell>
          <cell r="G103">
            <v>17266</v>
          </cell>
          <cell r="H103">
            <v>0</v>
          </cell>
          <cell r="I103">
            <v>17266</v>
          </cell>
          <cell r="J103">
            <v>21986.11</v>
          </cell>
          <cell r="K103">
            <v>1.001462603625763</v>
          </cell>
          <cell r="L103">
            <v>-32.11000000000058</v>
          </cell>
        </row>
        <row r="104">
          <cell r="B104">
            <v>35674</v>
          </cell>
          <cell r="D104">
            <v>20918</v>
          </cell>
          <cell r="E104">
            <v>836.72</v>
          </cell>
          <cell r="F104">
            <v>3660.6499999999996</v>
          </cell>
          <cell r="G104">
            <v>16060</v>
          </cell>
          <cell r="H104">
            <v>0</v>
          </cell>
          <cell r="I104">
            <v>16060</v>
          </cell>
          <cell r="J104">
            <v>20557.37</v>
          </cell>
          <cell r="K104">
            <v>0.9827598240749593</v>
          </cell>
          <cell r="L104">
            <v>360.630000000001</v>
          </cell>
        </row>
        <row r="105">
          <cell r="B105">
            <v>35704</v>
          </cell>
          <cell r="D105">
            <v>19994</v>
          </cell>
          <cell r="E105">
            <v>799.76</v>
          </cell>
          <cell r="F105">
            <v>3498.95</v>
          </cell>
          <cell r="G105">
            <v>15053.4</v>
          </cell>
          <cell r="H105">
            <v>0</v>
          </cell>
          <cell r="I105">
            <v>15053.4</v>
          </cell>
          <cell r="J105">
            <v>19352.11</v>
          </cell>
          <cell r="K105">
            <v>0.9678958687606282</v>
          </cell>
          <cell r="L105">
            <v>641.8899999999994</v>
          </cell>
        </row>
        <row r="106">
          <cell r="B106">
            <v>35735</v>
          </cell>
          <cell r="D106">
            <v>20829</v>
          </cell>
          <cell r="E106">
            <v>833.16</v>
          </cell>
          <cell r="F106">
            <v>3645.075</v>
          </cell>
          <cell r="G106">
            <v>11656.4</v>
          </cell>
          <cell r="H106">
            <v>0</v>
          </cell>
          <cell r="I106">
            <v>11656.4</v>
          </cell>
          <cell r="J106">
            <v>16134.634999999998</v>
          </cell>
          <cell r="K106">
            <v>0.7746236017091555</v>
          </cell>
          <cell r="L106">
            <v>4694.365000000002</v>
          </cell>
        </row>
        <row r="107">
          <cell r="B107">
            <v>35765</v>
          </cell>
          <cell r="D107">
            <v>20451.4</v>
          </cell>
          <cell r="E107">
            <v>818.056</v>
          </cell>
          <cell r="F107">
            <v>3578.995</v>
          </cell>
          <cell r="G107">
            <v>13917.4</v>
          </cell>
          <cell r="H107">
            <v>0</v>
          </cell>
          <cell r="I107">
            <v>13917.4</v>
          </cell>
          <cell r="J107">
            <v>18314.451</v>
          </cell>
          <cell r="K107">
            <v>0.8955108696715139</v>
          </cell>
          <cell r="L107">
            <v>2136.9490000000005</v>
          </cell>
        </row>
        <row r="108">
          <cell r="B108">
            <v>35796</v>
          </cell>
          <cell r="D108">
            <v>20391.4</v>
          </cell>
          <cell r="E108">
            <v>815.6560000000001</v>
          </cell>
          <cell r="F108">
            <v>3568.495</v>
          </cell>
          <cell r="G108">
            <v>12381.4</v>
          </cell>
          <cell r="H108">
            <v>0</v>
          </cell>
          <cell r="I108">
            <v>12381.4</v>
          </cell>
          <cell r="J108">
            <v>16765.551</v>
          </cell>
          <cell r="K108">
            <v>0.8221873436841021</v>
          </cell>
          <cell r="L108">
            <v>3625.849000000002</v>
          </cell>
        </row>
        <row r="110">
          <cell r="A110" t="str">
            <v>Contract Period</v>
          </cell>
        </row>
        <row r="111">
          <cell r="B111" t="str">
            <v>2/97 - 1/98</v>
          </cell>
          <cell r="D111">
            <v>273491.8</v>
          </cell>
          <cell r="E111">
            <v>10939.672000000002</v>
          </cell>
          <cell r="F111">
            <v>47861.064999999995</v>
          </cell>
          <cell r="G111">
            <v>199425.59999999998</v>
          </cell>
          <cell r="H111">
            <v>0</v>
          </cell>
          <cell r="I111">
            <v>199425.59999999998</v>
          </cell>
          <cell r="J111">
            <v>258226.33699999997</v>
          </cell>
          <cell r="K111">
            <v>0.9441831053069963</v>
          </cell>
          <cell r="L111">
            <v>15265.463000000003</v>
          </cell>
        </row>
        <row r="113">
          <cell r="A113" t="e">
            <v>#VALUE!</v>
          </cell>
          <cell r="B113" t="str">
            <v>Mo. Ave</v>
          </cell>
          <cell r="D113">
            <v>22790.983333333334</v>
          </cell>
          <cell r="E113">
            <v>911.6393333333335</v>
          </cell>
          <cell r="F113">
            <v>3988.422083333333</v>
          </cell>
          <cell r="G113">
            <v>16618.8</v>
          </cell>
          <cell r="H113">
            <v>0</v>
          </cell>
          <cell r="I113">
            <v>16618.8</v>
          </cell>
          <cell r="J113">
            <v>21518.861416666663</v>
          </cell>
          <cell r="K113">
            <v>0.9441831053069962</v>
          </cell>
          <cell r="L113">
            <v>1272.121916666667</v>
          </cell>
        </row>
        <row r="115">
          <cell r="B115" t="str">
            <v>Large claim activity (Combined PPO &amp; Traditional Plans):</v>
          </cell>
        </row>
        <row r="116">
          <cell r="A116" t="str">
            <v>Rate Stabilization Reserve (RSR)</v>
          </cell>
        </row>
        <row r="120">
          <cell r="D120" t="str">
            <v>  RSR as of February 1, 1994:</v>
          </cell>
          <cell r="J120">
            <v>-378625</v>
          </cell>
        </row>
        <row r="121">
          <cell r="D121" t="str">
            <v>  2/1/94 to 1/31/95 Contract Year Gain or (Loss):</v>
          </cell>
          <cell r="J121">
            <v>30791</v>
          </cell>
        </row>
        <row r="124">
          <cell r="D124" t="str">
            <v>  RSR as of February 1, 1995:</v>
          </cell>
          <cell r="J124">
            <v>-347834</v>
          </cell>
        </row>
        <row r="125">
          <cell r="D125" t="str">
            <v>  2/1/95 to 1/31/96 Contract Year Gain or (Loss):</v>
          </cell>
          <cell r="J125">
            <v>92407</v>
          </cell>
        </row>
        <row r="128">
          <cell r="D128" t="str">
            <v>  RSR as of February 1, 1996:</v>
          </cell>
          <cell r="J128">
            <v>-255427</v>
          </cell>
        </row>
        <row r="129">
          <cell r="D129" t="str">
            <v>  2/1/96 to 1/31/97 Contract Year Gain or (Loss):</v>
          </cell>
          <cell r="J129">
            <v>133736</v>
          </cell>
        </row>
        <row r="132">
          <cell r="D132" t="str">
            <v>  RSR as of February 1, 1997:</v>
          </cell>
          <cell r="J132">
            <v>-121691</v>
          </cell>
        </row>
        <row r="135">
          <cell r="D135" t="str">
            <v>  Current Contract Year Gain or (Loss):</v>
          </cell>
          <cell r="J135">
            <v>11449.403000000002</v>
          </cell>
          <cell r="K135" t="str">
            <v>*</v>
          </cell>
        </row>
        <row r="136">
          <cell r="E136" t="str">
            <v>2/97 - 1/98</v>
          </cell>
        </row>
        <row r="138">
          <cell r="D138" t="str">
            <v>  Gain or (Loss) to Date:</v>
          </cell>
          <cell r="J138">
            <v>-110241.597</v>
          </cell>
          <cell r="K138" t="str">
            <v>*</v>
          </cell>
        </row>
        <row r="140">
          <cell r="D140" t="str">
            <v>    *Subject to Year End Accounting</v>
          </cell>
        </row>
      </sheetData>
      <sheetData sheetId="3">
        <row r="2">
          <cell r="A2" t="str">
            <v>Medical Plan Experience - MSC</v>
          </cell>
        </row>
        <row r="22">
          <cell r="I22" t="str">
            <v>Contract Period</v>
          </cell>
        </row>
        <row r="23">
          <cell r="I23" t="str">
            <v>Feb 98 - Jan 99</v>
          </cell>
        </row>
        <row r="25">
          <cell r="C25" t="str">
            <v>Premium</v>
          </cell>
          <cell r="I25">
            <v>248901.03999999992</v>
          </cell>
        </row>
        <row r="27">
          <cell r="C27" t="str">
            <v>Administration</v>
          </cell>
          <cell r="I27">
            <v>43435.74639999999</v>
          </cell>
        </row>
        <row r="29">
          <cell r="C29" t="str">
            <v>Pooling Expense</v>
          </cell>
          <cell r="I29">
            <v>9956.0416</v>
          </cell>
        </row>
        <row r="31">
          <cell r="C31" t="str">
            <v>Net Paid Claims</v>
          </cell>
          <cell r="I31">
            <v>232293</v>
          </cell>
        </row>
        <row r="33">
          <cell r="C33" t="str">
            <v>Total Expenses</v>
          </cell>
          <cell r="I33">
            <v>285684.788</v>
          </cell>
        </row>
        <row r="35">
          <cell r="C35" t="str">
            <v>Expense Loss Ratio</v>
          </cell>
          <cell r="I35">
            <v>1.1477846295861203</v>
          </cell>
        </row>
        <row r="37">
          <cell r="C37" t="str">
            <v>* PrimeCare added 2-1-97.  Experience is not available.</v>
          </cell>
        </row>
        <row r="38">
          <cell r="A38" t="str">
            <v>Combined Medical Plan Experience</v>
          </cell>
        </row>
        <row r="40">
          <cell r="D40" t="str">
            <v>A</v>
          </cell>
          <cell r="E40" t="str">
            <v>B</v>
          </cell>
          <cell r="F40" t="str">
            <v>C</v>
          </cell>
          <cell r="G40" t="str">
            <v>D</v>
          </cell>
          <cell r="H40" t="str">
            <v>E</v>
          </cell>
          <cell r="I40" t="str">
            <v>F</v>
          </cell>
          <cell r="J40" t="str">
            <v>G</v>
          </cell>
          <cell r="K40" t="str">
            <v>H</v>
          </cell>
          <cell r="L40" t="str">
            <v>I</v>
          </cell>
          <cell r="M40" t="str">
            <v>J</v>
          </cell>
          <cell r="N40" t="str">
            <v>K</v>
          </cell>
        </row>
        <row r="41">
          <cell r="D41" t="str">
            <v>Billed</v>
          </cell>
          <cell r="E41" t="str">
            <v>Pooling</v>
          </cell>
          <cell r="F41" t="str">
            <v>Retention</v>
          </cell>
          <cell r="G41" t="str">
            <v>Gross</v>
          </cell>
          <cell r="H41" t="str">
            <v>Pooled</v>
          </cell>
          <cell r="I41" t="str">
            <v>Net Paid</v>
          </cell>
          <cell r="J41" t="str">
            <v>Total</v>
          </cell>
          <cell r="K41" t="str">
            <v>Expense</v>
          </cell>
          <cell r="L41" t="str">
            <v>Gain/(Loss)</v>
          </cell>
          <cell r="M41" t="str">
            <v>Emp</v>
          </cell>
          <cell r="N41" t="str">
            <v>Cost Per</v>
          </cell>
        </row>
        <row r="42">
          <cell r="D42" t="str">
            <v>Premium</v>
          </cell>
          <cell r="E42" t="str">
            <v>Expense</v>
          </cell>
          <cell r="F42" t="str">
            <v>Charge</v>
          </cell>
          <cell r="G42" t="str">
            <v>Claims</v>
          </cell>
          <cell r="H42" t="str">
            <v>Claims</v>
          </cell>
          <cell r="I42" t="str">
            <v>Claims</v>
          </cell>
          <cell r="J42" t="str">
            <v>Expenses</v>
          </cell>
          <cell r="K42" t="str">
            <v>Loss Ratio</v>
          </cell>
          <cell r="L42" t="str">
            <v>Monthly</v>
          </cell>
          <cell r="M42" t="str">
            <v>Count</v>
          </cell>
          <cell r="N42" t="str">
            <v>Employee</v>
          </cell>
        </row>
        <row r="43">
          <cell r="H43" t="str">
            <v>($75,000)</v>
          </cell>
          <cell r="I43" t="str">
            <v>D-E</v>
          </cell>
          <cell r="J43" t="str">
            <v>B+C+F</v>
          </cell>
          <cell r="K43" t="str">
            <v>G/A</v>
          </cell>
          <cell r="L43" t="str">
            <v>A-G</v>
          </cell>
          <cell r="N43" t="str">
            <v>G/J</v>
          </cell>
        </row>
        <row r="44">
          <cell r="B44" t="str">
            <v>1997/98</v>
          </cell>
        </row>
        <row r="45">
          <cell r="B45" t="str">
            <v>Plan Yr.</v>
          </cell>
          <cell r="D45">
            <v>282501</v>
          </cell>
          <cell r="E45">
            <v>11300</v>
          </cell>
          <cell r="F45">
            <v>49302</v>
          </cell>
          <cell r="G45">
            <v>210449</v>
          </cell>
          <cell r="H45">
            <v>0</v>
          </cell>
          <cell r="I45">
            <v>210449</v>
          </cell>
          <cell r="J45">
            <v>271051</v>
          </cell>
          <cell r="K45">
            <v>0.9594691700206371</v>
          </cell>
          <cell r="L45">
            <v>11450</v>
          </cell>
          <cell r="M45">
            <v>1532</v>
          </cell>
          <cell r="N45">
            <v>176.9262402088773</v>
          </cell>
        </row>
        <row r="46">
          <cell r="B46" t="str">
            <v>1997/98</v>
          </cell>
        </row>
        <row r="47">
          <cell r="B47" t="str">
            <v>Mo. Ave</v>
          </cell>
          <cell r="D47">
            <v>23541.75</v>
          </cell>
          <cell r="E47">
            <v>941.6666666666666</v>
          </cell>
          <cell r="F47">
            <v>4108.5</v>
          </cell>
          <cell r="G47">
            <v>17537.416666666668</v>
          </cell>
          <cell r="H47">
            <v>0</v>
          </cell>
          <cell r="I47">
            <v>17537.416666666668</v>
          </cell>
          <cell r="J47">
            <v>22587.583333333332</v>
          </cell>
          <cell r="K47">
            <v>0.959469170020637</v>
          </cell>
          <cell r="L47">
            <v>954.1666666666666</v>
          </cell>
          <cell r="M47">
            <v>127.66666666666667</v>
          </cell>
          <cell r="N47">
            <v>176.92624020887726</v>
          </cell>
        </row>
        <row r="49">
          <cell r="B49">
            <v>35827</v>
          </cell>
          <cell r="D49">
            <v>20285.42</v>
          </cell>
          <cell r="E49">
            <v>811.4168000000001</v>
          </cell>
          <cell r="F49">
            <v>3539.7871999999998</v>
          </cell>
          <cell r="G49">
            <v>9746</v>
          </cell>
          <cell r="H49">
            <v>0</v>
          </cell>
          <cell r="I49">
            <v>9746</v>
          </cell>
          <cell r="J49">
            <v>14097.204</v>
          </cell>
          <cell r="K49">
            <v>0.6949426731120184</v>
          </cell>
          <cell r="L49">
            <v>6188.216</v>
          </cell>
          <cell r="M49">
            <v>114</v>
          </cell>
          <cell r="N49">
            <v>123.65968421052631</v>
          </cell>
        </row>
        <row r="50">
          <cell r="B50">
            <v>35855</v>
          </cell>
          <cell r="D50">
            <v>21499.42</v>
          </cell>
          <cell r="E50">
            <v>859.9768</v>
          </cell>
          <cell r="F50">
            <v>3752.2372</v>
          </cell>
          <cell r="G50">
            <v>7886</v>
          </cell>
          <cell r="H50">
            <v>0</v>
          </cell>
          <cell r="I50">
            <v>7886</v>
          </cell>
          <cell r="J50">
            <v>12498.214</v>
          </cell>
          <cell r="K50">
            <v>0.5813279614054705</v>
          </cell>
          <cell r="L50">
            <v>9001.206</v>
          </cell>
          <cell r="M50">
            <v>114</v>
          </cell>
          <cell r="N50">
            <v>109.63345614035087</v>
          </cell>
        </row>
        <row r="51">
          <cell r="B51">
            <v>35886</v>
          </cell>
          <cell r="D51">
            <v>21129.42</v>
          </cell>
          <cell r="E51">
            <v>845.1768000000001</v>
          </cell>
          <cell r="F51">
            <v>3687.4872</v>
          </cell>
          <cell r="G51">
            <v>20758</v>
          </cell>
          <cell r="H51">
            <v>0</v>
          </cell>
          <cell r="I51">
            <v>20758</v>
          </cell>
          <cell r="J51">
            <v>25290.664</v>
          </cell>
          <cell r="K51">
            <v>1.1969407584306622</v>
          </cell>
          <cell r="L51">
            <v>-4161.244000000001</v>
          </cell>
          <cell r="M51">
            <v>114</v>
          </cell>
          <cell r="N51">
            <v>221.84792982456142</v>
          </cell>
        </row>
        <row r="52">
          <cell r="B52">
            <v>35916</v>
          </cell>
          <cell r="D52">
            <v>20047.42</v>
          </cell>
          <cell r="E52">
            <v>801.8968000000001</v>
          </cell>
          <cell r="F52">
            <v>3498.1372</v>
          </cell>
          <cell r="G52">
            <v>35196</v>
          </cell>
          <cell r="H52">
            <v>0</v>
          </cell>
          <cell r="I52">
            <v>35196</v>
          </cell>
          <cell r="J52">
            <v>39496.034</v>
          </cell>
          <cell r="K52">
            <v>1.9701305205358097</v>
          </cell>
          <cell r="L52">
            <v>-19448.614</v>
          </cell>
          <cell r="M52">
            <v>113</v>
          </cell>
          <cell r="N52">
            <v>349.52242477876104</v>
          </cell>
        </row>
        <row r="53">
          <cell r="B53">
            <v>35947</v>
          </cell>
          <cell r="D53">
            <v>20021.42</v>
          </cell>
          <cell r="E53">
            <v>800.8568</v>
          </cell>
          <cell r="F53">
            <v>3493.5872</v>
          </cell>
          <cell r="G53">
            <v>9645</v>
          </cell>
          <cell r="H53">
            <v>0</v>
          </cell>
          <cell r="I53">
            <v>9645</v>
          </cell>
          <cell r="J53">
            <v>13939.444</v>
          </cell>
          <cell r="K53">
            <v>0.6962265413741883</v>
          </cell>
          <cell r="L53">
            <v>6081.976000000001</v>
          </cell>
          <cell r="M53">
            <v>110</v>
          </cell>
          <cell r="N53">
            <v>126.72221818181818</v>
          </cell>
        </row>
        <row r="54">
          <cell r="B54">
            <v>35977</v>
          </cell>
          <cell r="D54">
            <v>19737.42</v>
          </cell>
          <cell r="E54">
            <v>789.4968</v>
          </cell>
          <cell r="F54">
            <v>3443.8872</v>
          </cell>
          <cell r="G54">
            <v>14885</v>
          </cell>
          <cell r="H54">
            <v>0</v>
          </cell>
          <cell r="I54">
            <v>14885</v>
          </cell>
          <cell r="J54">
            <v>19118.384000000002</v>
          </cell>
          <cell r="K54">
            <v>0.9686364276587317</v>
          </cell>
          <cell r="L54">
            <v>619.0359999999985</v>
          </cell>
          <cell r="M54">
            <v>108</v>
          </cell>
          <cell r="N54">
            <v>177.02207407407408</v>
          </cell>
        </row>
        <row r="55">
          <cell r="B55">
            <v>36008</v>
          </cell>
          <cell r="D55">
            <v>19939.42</v>
          </cell>
          <cell r="E55">
            <v>797.5768</v>
          </cell>
          <cell r="F55">
            <v>3479.2372</v>
          </cell>
          <cell r="G55">
            <v>9617.5</v>
          </cell>
          <cell r="H55">
            <v>0</v>
          </cell>
          <cell r="I55">
            <v>9617.5</v>
          </cell>
          <cell r="J55">
            <v>13894.314</v>
          </cell>
          <cell r="K55">
            <v>0.6968263871266066</v>
          </cell>
          <cell r="L55">
            <v>6045.106</v>
          </cell>
          <cell r="M55">
            <v>107</v>
          </cell>
          <cell r="N55">
            <v>129.8534018691589</v>
          </cell>
        </row>
        <row r="56">
          <cell r="B56">
            <v>36039</v>
          </cell>
          <cell r="D56">
            <v>21851.92</v>
          </cell>
          <cell r="E56">
            <v>874.0768</v>
          </cell>
          <cell r="F56">
            <v>3813.9247</v>
          </cell>
          <cell r="G56">
            <v>26267.5</v>
          </cell>
          <cell r="H56">
            <v>0</v>
          </cell>
          <cell r="I56">
            <v>26267.5</v>
          </cell>
          <cell r="J56">
            <v>30955.501500000002</v>
          </cell>
          <cell r="K56">
            <v>1.4166032778813031</v>
          </cell>
          <cell r="L56">
            <v>-9103.581500000002</v>
          </cell>
          <cell r="M56">
            <v>118</v>
          </cell>
          <cell r="N56">
            <v>262.3347584745763</v>
          </cell>
        </row>
        <row r="57">
          <cell r="B57">
            <v>36069</v>
          </cell>
          <cell r="D57">
            <v>22672.92</v>
          </cell>
          <cell r="E57">
            <v>906.9168000000001</v>
          </cell>
          <cell r="F57">
            <v>3957.5996999999998</v>
          </cell>
          <cell r="G57">
            <v>32691</v>
          </cell>
          <cell r="H57">
            <v>0</v>
          </cell>
          <cell r="I57">
            <v>32691</v>
          </cell>
          <cell r="J57">
            <v>37555.5165</v>
          </cell>
          <cell r="K57">
            <v>1.6564040494122505</v>
          </cell>
          <cell r="L57">
            <v>-14882.596500000001</v>
          </cell>
          <cell r="M57">
            <v>121</v>
          </cell>
          <cell r="N57">
            <v>310.3761694214876</v>
          </cell>
        </row>
        <row r="58">
          <cell r="B58">
            <v>36100</v>
          </cell>
          <cell r="D58">
            <v>20251.42</v>
          </cell>
          <cell r="E58">
            <v>810.0568000000001</v>
          </cell>
          <cell r="F58">
            <v>3533.8372</v>
          </cell>
          <cell r="G58">
            <v>44005</v>
          </cell>
          <cell r="H58">
            <v>0</v>
          </cell>
          <cell r="I58">
            <v>44005</v>
          </cell>
          <cell r="J58">
            <v>48348.894</v>
          </cell>
          <cell r="K58">
            <v>2.387432288698768</v>
          </cell>
          <cell r="L58">
            <v>-28097.474000000002</v>
          </cell>
          <cell r="M58">
            <v>112</v>
          </cell>
          <cell r="N58">
            <v>431.6865535714286</v>
          </cell>
        </row>
        <row r="59">
          <cell r="B59">
            <v>36130</v>
          </cell>
          <cell r="D59">
            <v>20957.42</v>
          </cell>
          <cell r="E59">
            <v>838.2968000000001</v>
          </cell>
          <cell r="F59">
            <v>3657.3872</v>
          </cell>
          <cell r="G59">
            <v>11212</v>
          </cell>
          <cell r="H59">
            <v>0</v>
          </cell>
          <cell r="I59">
            <v>11212</v>
          </cell>
          <cell r="J59">
            <v>15707.684000000001</v>
          </cell>
          <cell r="K59">
            <v>0.7495046623105326</v>
          </cell>
          <cell r="L59">
            <v>5249.735999999999</v>
          </cell>
          <cell r="M59">
            <v>115</v>
          </cell>
          <cell r="N59">
            <v>136.58855652173915</v>
          </cell>
        </row>
        <row r="60">
          <cell r="B60">
            <v>36161</v>
          </cell>
          <cell r="D60">
            <v>20507.42</v>
          </cell>
          <cell r="E60">
            <v>820.2968000000001</v>
          </cell>
          <cell r="F60">
            <v>3578.6372</v>
          </cell>
          <cell r="G60">
            <v>10384</v>
          </cell>
          <cell r="H60">
            <v>0</v>
          </cell>
          <cell r="I60">
            <v>10384</v>
          </cell>
          <cell r="J60">
            <v>14782.934000000001</v>
          </cell>
          <cell r="K60">
            <v>0.7208578163415974</v>
          </cell>
          <cell r="L60">
            <v>5724.485999999999</v>
          </cell>
          <cell r="M60">
            <v>112</v>
          </cell>
          <cell r="N60">
            <v>131.99048214285716</v>
          </cell>
        </row>
        <row r="62">
          <cell r="B62" t="str">
            <v>1998/99</v>
          </cell>
        </row>
        <row r="63">
          <cell r="B63" t="str">
            <v>Plan Yr.</v>
          </cell>
          <cell r="D63">
            <v>248901.03999999992</v>
          </cell>
          <cell r="E63">
            <v>9956.0416</v>
          </cell>
          <cell r="F63">
            <v>43435.74639999999</v>
          </cell>
          <cell r="G63">
            <v>232293</v>
          </cell>
          <cell r="H63">
            <v>0</v>
          </cell>
          <cell r="I63">
            <v>232293</v>
          </cell>
          <cell r="J63">
            <v>285684.788</v>
          </cell>
          <cell r="K63">
            <v>1.1477846295861203</v>
          </cell>
          <cell r="L63">
            <v>-36783.748000000014</v>
          </cell>
          <cell r="M63">
            <v>1358</v>
          </cell>
          <cell r="N63">
            <v>210.3717142857143</v>
          </cell>
        </row>
        <row r="64">
          <cell r="B64" t="str">
            <v>1998/99</v>
          </cell>
        </row>
        <row r="65">
          <cell r="A65" t="e">
            <v>#VALUE!</v>
          </cell>
          <cell r="B65" t="str">
            <v>Mo. Ave</v>
          </cell>
          <cell r="D65">
            <v>20741.753333333327</v>
          </cell>
          <cell r="E65">
            <v>829.6701333333334</v>
          </cell>
          <cell r="F65">
            <v>3619.6455333333324</v>
          </cell>
          <cell r="G65">
            <v>19357.75</v>
          </cell>
          <cell r="H65">
            <v>0</v>
          </cell>
          <cell r="I65">
            <v>19357.75</v>
          </cell>
          <cell r="J65">
            <v>23807.065666666665</v>
          </cell>
          <cell r="K65">
            <v>1.1477846295861203</v>
          </cell>
          <cell r="L65">
            <v>-3065.3123333333347</v>
          </cell>
          <cell r="M65">
            <v>113.16666666666667</v>
          </cell>
          <cell r="N65">
            <v>210.37171428571426</v>
          </cell>
        </row>
        <row r="67">
          <cell r="B67" t="str">
            <v>* PrimeCare added 2-1-97.  Experience is not available.</v>
          </cell>
        </row>
        <row r="68">
          <cell r="B68" t="str">
            <v>Large Claim Information:</v>
          </cell>
        </row>
        <row r="69">
          <cell r="D69">
            <v>29439.71</v>
          </cell>
          <cell r="E69" t="str">
            <v>Aneurysm</v>
          </cell>
        </row>
        <row r="70">
          <cell r="D70">
            <v>54477.88</v>
          </cell>
          <cell r="E70" t="str">
            <v>Canncelled 12/98</v>
          </cell>
        </row>
        <row r="71">
          <cell r="D71">
            <v>24624.91</v>
          </cell>
          <cell r="E71" t="str">
            <v>Bypass Surgery</v>
          </cell>
        </row>
        <row r="72">
          <cell r="A72" t="str">
            <v>Traditional Plan Experience #1806</v>
          </cell>
        </row>
        <row r="74">
          <cell r="D74" t="str">
            <v>A</v>
          </cell>
          <cell r="E74" t="str">
            <v>B</v>
          </cell>
          <cell r="F74" t="str">
            <v>C</v>
          </cell>
          <cell r="G74" t="str">
            <v>D</v>
          </cell>
          <cell r="H74" t="str">
            <v>E</v>
          </cell>
          <cell r="I74" t="str">
            <v>F</v>
          </cell>
          <cell r="J74" t="str">
            <v>G</v>
          </cell>
          <cell r="K74" t="str">
            <v>H</v>
          </cell>
          <cell r="L74" t="str">
            <v>I</v>
          </cell>
          <cell r="M74" t="str">
            <v>J</v>
          </cell>
          <cell r="N74" t="str">
            <v>K</v>
          </cell>
        </row>
        <row r="75">
          <cell r="D75" t="str">
            <v>Billed</v>
          </cell>
          <cell r="E75" t="str">
            <v>Pooling</v>
          </cell>
          <cell r="F75" t="str">
            <v>Retention</v>
          </cell>
          <cell r="G75" t="str">
            <v>Gross</v>
          </cell>
          <cell r="H75" t="str">
            <v>Pooled</v>
          </cell>
          <cell r="I75" t="str">
            <v>Net Paid</v>
          </cell>
          <cell r="J75" t="str">
            <v>Total</v>
          </cell>
          <cell r="K75" t="str">
            <v>Expense</v>
          </cell>
          <cell r="L75" t="str">
            <v>Gain/(Loss)</v>
          </cell>
          <cell r="M75" t="str">
            <v>Emp</v>
          </cell>
          <cell r="N75" t="str">
            <v>Cost Per</v>
          </cell>
        </row>
        <row r="76">
          <cell r="D76" t="str">
            <v>Premium</v>
          </cell>
          <cell r="E76" t="str">
            <v>Expense</v>
          </cell>
          <cell r="F76" t="str">
            <v>Charge</v>
          </cell>
          <cell r="G76" t="str">
            <v>Claims</v>
          </cell>
          <cell r="H76" t="str">
            <v>Claims</v>
          </cell>
          <cell r="I76" t="str">
            <v>Claims</v>
          </cell>
          <cell r="J76" t="str">
            <v>Expenses</v>
          </cell>
          <cell r="K76" t="str">
            <v>Loss Ratio</v>
          </cell>
          <cell r="L76" t="str">
            <v>Monthly</v>
          </cell>
          <cell r="M76" t="str">
            <v>Count</v>
          </cell>
          <cell r="N76" t="str">
            <v>Employee</v>
          </cell>
        </row>
        <row r="77">
          <cell r="H77" t="str">
            <v>($75,000)</v>
          </cell>
          <cell r="I77" t="str">
            <v>D-E</v>
          </cell>
          <cell r="J77" t="str">
            <v>B+C+F</v>
          </cell>
          <cell r="K77" t="str">
            <v>G/A</v>
          </cell>
          <cell r="L77" t="str">
            <v>A-G</v>
          </cell>
          <cell r="N77" t="str">
            <v>G/J</v>
          </cell>
        </row>
        <row r="78">
          <cell r="B78" t="str">
            <v>1997/98</v>
          </cell>
        </row>
        <row r="79">
          <cell r="B79" t="str">
            <v>Plan Yr.</v>
          </cell>
          <cell r="D79">
            <v>9009</v>
          </cell>
          <cell r="E79">
            <v>360</v>
          </cell>
          <cell r="F79">
            <v>1441</v>
          </cell>
          <cell r="G79">
            <v>11023</v>
          </cell>
          <cell r="H79">
            <v>0</v>
          </cell>
          <cell r="I79">
            <v>11023</v>
          </cell>
          <cell r="J79">
            <v>12824</v>
          </cell>
          <cell r="K79">
            <v>1.4234654234654234</v>
          </cell>
          <cell r="L79">
            <v>-3815</v>
          </cell>
          <cell r="M79">
            <v>25</v>
          </cell>
          <cell r="N79">
            <v>512.96</v>
          </cell>
        </row>
        <row r="80">
          <cell r="B80" t="str">
            <v>1997/98</v>
          </cell>
        </row>
        <row r="81">
          <cell r="B81" t="str">
            <v>Mo. Ave</v>
          </cell>
          <cell r="D81">
            <v>750.75</v>
          </cell>
          <cell r="E81">
            <v>30</v>
          </cell>
          <cell r="F81">
            <v>120.08333333333333</v>
          </cell>
          <cell r="G81">
            <v>918.5833333333334</v>
          </cell>
          <cell r="H81">
            <v>0</v>
          </cell>
          <cell r="I81">
            <v>918.5833333333334</v>
          </cell>
          <cell r="J81">
            <v>1068.6666666666667</v>
          </cell>
          <cell r="K81">
            <v>1.4234654234654236</v>
          </cell>
          <cell r="L81">
            <v>-317.9166666666667</v>
          </cell>
          <cell r="M81">
            <v>2.0833333333333335</v>
          </cell>
          <cell r="N81">
            <v>512.96</v>
          </cell>
        </row>
        <row r="83">
          <cell r="B83">
            <v>35827</v>
          </cell>
          <cell r="D83">
            <v>677.42</v>
          </cell>
          <cell r="E83">
            <v>27.096799999999998</v>
          </cell>
          <cell r="F83">
            <v>108.38719999999999</v>
          </cell>
          <cell r="G83">
            <v>0</v>
          </cell>
          <cell r="H83">
            <v>0</v>
          </cell>
          <cell r="I83">
            <v>0</v>
          </cell>
          <cell r="J83">
            <v>135.48399999999998</v>
          </cell>
          <cell r="K83">
            <v>0.19999999999999998</v>
          </cell>
          <cell r="L83">
            <v>541.9359999999999</v>
          </cell>
          <cell r="M83">
            <v>2</v>
          </cell>
          <cell r="N83">
            <v>67.74199999999999</v>
          </cell>
        </row>
        <row r="84">
          <cell r="B84">
            <v>35855</v>
          </cell>
          <cell r="D84">
            <v>677.42</v>
          </cell>
          <cell r="E84">
            <v>27.096799999999998</v>
          </cell>
          <cell r="F84">
            <v>108.38719999999999</v>
          </cell>
          <cell r="G84">
            <v>27</v>
          </cell>
          <cell r="H84">
            <v>0</v>
          </cell>
          <cell r="I84">
            <v>27</v>
          </cell>
          <cell r="J84">
            <v>162.48399999999998</v>
          </cell>
          <cell r="K84">
            <v>0.23985710489799533</v>
          </cell>
          <cell r="L84">
            <v>514.9359999999999</v>
          </cell>
          <cell r="M84">
            <v>2</v>
          </cell>
          <cell r="N84">
            <v>81.24199999999999</v>
          </cell>
        </row>
        <row r="85">
          <cell r="B85">
            <v>35886</v>
          </cell>
          <cell r="D85">
            <v>677.42</v>
          </cell>
          <cell r="E85">
            <v>27.096799999999998</v>
          </cell>
          <cell r="F85">
            <v>108.38719999999999</v>
          </cell>
          <cell r="G85">
            <v>0</v>
          </cell>
          <cell r="H85">
            <v>0</v>
          </cell>
          <cell r="I85">
            <v>0</v>
          </cell>
          <cell r="J85">
            <v>135.48399999999998</v>
          </cell>
          <cell r="K85">
            <v>0.19999999999999998</v>
          </cell>
          <cell r="L85">
            <v>541.9359999999999</v>
          </cell>
          <cell r="M85">
            <v>2</v>
          </cell>
          <cell r="N85">
            <v>67.74199999999999</v>
          </cell>
        </row>
        <row r="86">
          <cell r="B86">
            <v>35916</v>
          </cell>
          <cell r="D86">
            <v>677.42</v>
          </cell>
          <cell r="E86">
            <v>27.096799999999998</v>
          </cell>
          <cell r="F86">
            <v>108.38719999999999</v>
          </cell>
          <cell r="G86">
            <v>26</v>
          </cell>
          <cell r="H86">
            <v>0</v>
          </cell>
          <cell r="I86">
            <v>26</v>
          </cell>
          <cell r="J86">
            <v>161.48399999999998</v>
          </cell>
          <cell r="K86">
            <v>0.23838091582769919</v>
          </cell>
          <cell r="L86">
            <v>515.9359999999999</v>
          </cell>
          <cell r="M86">
            <v>2</v>
          </cell>
          <cell r="N86">
            <v>80.74199999999999</v>
          </cell>
        </row>
        <row r="87">
          <cell r="B87">
            <v>35947</v>
          </cell>
          <cell r="D87">
            <v>677.42</v>
          </cell>
          <cell r="E87">
            <v>27.096799999999998</v>
          </cell>
          <cell r="F87">
            <v>108.38719999999999</v>
          </cell>
          <cell r="G87">
            <v>107</v>
          </cell>
          <cell r="H87">
            <v>0</v>
          </cell>
          <cell r="I87">
            <v>107</v>
          </cell>
          <cell r="J87">
            <v>242.48399999999998</v>
          </cell>
          <cell r="K87">
            <v>0.35795223052168523</v>
          </cell>
          <cell r="L87">
            <v>434.936</v>
          </cell>
          <cell r="M87">
            <v>2</v>
          </cell>
          <cell r="N87">
            <v>121.24199999999999</v>
          </cell>
        </row>
        <row r="88">
          <cell r="B88">
            <v>35977</v>
          </cell>
          <cell r="D88">
            <v>677.42</v>
          </cell>
          <cell r="E88">
            <v>27.096799999999998</v>
          </cell>
          <cell r="F88">
            <v>108.38719999999999</v>
          </cell>
          <cell r="G88">
            <v>110</v>
          </cell>
          <cell r="H88">
            <v>0</v>
          </cell>
          <cell r="I88">
            <v>110</v>
          </cell>
          <cell r="J88">
            <v>245.48399999999998</v>
          </cell>
          <cell r="K88">
            <v>0.3623807977325736</v>
          </cell>
          <cell r="L88">
            <v>431.936</v>
          </cell>
          <cell r="M88">
            <v>2</v>
          </cell>
          <cell r="N88">
            <v>122.74199999999999</v>
          </cell>
        </row>
        <row r="89">
          <cell r="B89">
            <v>36008</v>
          </cell>
          <cell r="D89">
            <v>677.42</v>
          </cell>
          <cell r="E89">
            <v>27.096799999999998</v>
          </cell>
          <cell r="F89">
            <v>108.38719999999999</v>
          </cell>
          <cell r="G89">
            <v>92</v>
          </cell>
          <cell r="H89">
            <v>0</v>
          </cell>
          <cell r="I89">
            <v>92</v>
          </cell>
          <cell r="J89">
            <v>227.48399999999998</v>
          </cell>
          <cell r="K89">
            <v>0.33580939446724334</v>
          </cell>
          <cell r="L89">
            <v>449.936</v>
          </cell>
          <cell r="M89">
            <v>2</v>
          </cell>
          <cell r="N89">
            <v>113.74199999999999</v>
          </cell>
        </row>
        <row r="90">
          <cell r="B90">
            <v>36039</v>
          </cell>
          <cell r="D90">
            <v>677.42</v>
          </cell>
          <cell r="E90">
            <v>27.096799999999998</v>
          </cell>
          <cell r="F90">
            <v>108.38719999999999</v>
          </cell>
          <cell r="G90">
            <v>135</v>
          </cell>
          <cell r="H90">
            <v>0</v>
          </cell>
          <cell r="I90">
            <v>135</v>
          </cell>
          <cell r="J90">
            <v>270.484</v>
          </cell>
          <cell r="K90">
            <v>0.3992855244899767</v>
          </cell>
          <cell r="L90">
            <v>406.936</v>
          </cell>
          <cell r="M90">
            <v>2</v>
          </cell>
          <cell r="N90">
            <v>135.242</v>
          </cell>
        </row>
        <row r="91">
          <cell r="B91">
            <v>36069</v>
          </cell>
          <cell r="D91">
            <v>677.42</v>
          </cell>
          <cell r="E91">
            <v>27.096799999999998</v>
          </cell>
          <cell r="F91">
            <v>108.38719999999999</v>
          </cell>
          <cell r="G91">
            <v>200</v>
          </cell>
          <cell r="H91">
            <v>0</v>
          </cell>
          <cell r="I91">
            <v>200</v>
          </cell>
          <cell r="J91">
            <v>335.484</v>
          </cell>
          <cell r="K91">
            <v>0.4952378140592247</v>
          </cell>
          <cell r="L91">
            <v>341.936</v>
          </cell>
          <cell r="M91">
            <v>2</v>
          </cell>
          <cell r="N91">
            <v>167.742</v>
          </cell>
        </row>
        <row r="92">
          <cell r="B92">
            <v>36100</v>
          </cell>
          <cell r="D92">
            <v>677.42</v>
          </cell>
          <cell r="E92">
            <v>27.096799999999998</v>
          </cell>
          <cell r="F92">
            <v>108.38719999999999</v>
          </cell>
          <cell r="G92">
            <v>67</v>
          </cell>
          <cell r="H92">
            <v>0</v>
          </cell>
          <cell r="I92">
            <v>67</v>
          </cell>
          <cell r="J92">
            <v>202.48399999999998</v>
          </cell>
          <cell r="K92">
            <v>0.29890466770984025</v>
          </cell>
          <cell r="L92">
            <v>474.936</v>
          </cell>
          <cell r="M92">
            <v>2</v>
          </cell>
          <cell r="N92">
            <v>101.24199999999999</v>
          </cell>
        </row>
        <row r="93">
          <cell r="B93">
            <v>36130</v>
          </cell>
          <cell r="D93">
            <v>677.42</v>
          </cell>
          <cell r="E93">
            <v>27.096799999999998</v>
          </cell>
          <cell r="F93">
            <v>108.38719999999999</v>
          </cell>
          <cell r="G93">
            <v>4</v>
          </cell>
          <cell r="H93">
            <v>0</v>
          </cell>
          <cell r="I93">
            <v>4</v>
          </cell>
          <cell r="J93">
            <v>139.48399999999998</v>
          </cell>
          <cell r="K93">
            <v>0.2059047562811845</v>
          </cell>
          <cell r="L93">
            <v>537.9359999999999</v>
          </cell>
          <cell r="M93">
            <v>2</v>
          </cell>
          <cell r="N93">
            <v>69.74199999999999</v>
          </cell>
        </row>
        <row r="94">
          <cell r="B94">
            <v>36161</v>
          </cell>
          <cell r="D94">
            <v>677.42</v>
          </cell>
          <cell r="E94">
            <v>27.096799999999998</v>
          </cell>
          <cell r="F94">
            <v>108.38719999999999</v>
          </cell>
          <cell r="G94">
            <v>795</v>
          </cell>
          <cell r="H94">
            <v>0</v>
          </cell>
          <cell r="I94">
            <v>795</v>
          </cell>
          <cell r="J94">
            <v>930.4839999999999</v>
          </cell>
          <cell r="K94">
            <v>1.3735703108854183</v>
          </cell>
          <cell r="L94">
            <v>-253.06399999999996</v>
          </cell>
          <cell r="M94">
            <v>2</v>
          </cell>
          <cell r="N94">
            <v>465.24199999999996</v>
          </cell>
        </row>
        <row r="96">
          <cell r="B96" t="str">
            <v>1998/99</v>
          </cell>
        </row>
        <row r="97">
          <cell r="B97" t="str">
            <v>Plan Yr.</v>
          </cell>
          <cell r="D97">
            <v>8129.04</v>
          </cell>
          <cell r="E97">
            <v>325.1615999999999</v>
          </cell>
          <cell r="F97">
            <v>1300.6463999999996</v>
          </cell>
          <cell r="G97">
            <v>1563</v>
          </cell>
          <cell r="H97">
            <v>0</v>
          </cell>
          <cell r="I97">
            <v>1563</v>
          </cell>
          <cell r="J97">
            <v>3188.8079999999995</v>
          </cell>
          <cell r="K97">
            <v>0.39227362640607005</v>
          </cell>
          <cell r="L97">
            <v>4940.231999999999</v>
          </cell>
          <cell r="M97">
            <v>24</v>
          </cell>
          <cell r="N97">
            <v>132.867</v>
          </cell>
        </row>
        <row r="98">
          <cell r="B98" t="str">
            <v>1998/99</v>
          </cell>
        </row>
        <row r="99">
          <cell r="A99" t="e">
            <v>#VALUE!</v>
          </cell>
          <cell r="B99" t="str">
            <v>Mo. Ave</v>
          </cell>
          <cell r="D99">
            <v>677.42</v>
          </cell>
          <cell r="E99">
            <v>27.09679999999999</v>
          </cell>
          <cell r="F99">
            <v>108.38719999999996</v>
          </cell>
          <cell r="G99">
            <v>130.25</v>
          </cell>
          <cell r="H99">
            <v>0</v>
          </cell>
          <cell r="I99">
            <v>130.25</v>
          </cell>
          <cell r="J99">
            <v>265.734</v>
          </cell>
          <cell r="K99">
            <v>0.3922736264060701</v>
          </cell>
          <cell r="L99">
            <v>411.6859999999999</v>
          </cell>
          <cell r="M99">
            <v>2</v>
          </cell>
          <cell r="N99">
            <v>132.867</v>
          </cell>
        </row>
        <row r="101">
          <cell r="A101" t="str">
            <v>Preferred Plan Experience #7442</v>
          </cell>
        </row>
        <row r="103">
          <cell r="D103" t="str">
            <v>A</v>
          </cell>
          <cell r="E103" t="str">
            <v>B</v>
          </cell>
          <cell r="F103" t="str">
            <v>C</v>
          </cell>
          <cell r="G103" t="str">
            <v>D</v>
          </cell>
          <cell r="H103" t="str">
            <v>E</v>
          </cell>
          <cell r="I103" t="str">
            <v>F</v>
          </cell>
          <cell r="J103" t="str">
            <v>G</v>
          </cell>
          <cell r="K103" t="str">
            <v>H</v>
          </cell>
          <cell r="L103" t="str">
            <v>I</v>
          </cell>
          <cell r="M103" t="str">
            <v>J</v>
          </cell>
          <cell r="N103" t="str">
            <v>K</v>
          </cell>
        </row>
        <row r="104">
          <cell r="D104" t="str">
            <v>Billed</v>
          </cell>
          <cell r="E104" t="str">
            <v>Pooling</v>
          </cell>
          <cell r="F104" t="str">
            <v>Retention</v>
          </cell>
          <cell r="G104" t="str">
            <v>Gross</v>
          </cell>
          <cell r="H104" t="str">
            <v>Pooled</v>
          </cell>
          <cell r="I104" t="str">
            <v>Net Paid</v>
          </cell>
          <cell r="J104" t="str">
            <v>Total</v>
          </cell>
          <cell r="K104" t="str">
            <v>Expense</v>
          </cell>
          <cell r="L104" t="str">
            <v>Gain/(Loss)</v>
          </cell>
          <cell r="M104" t="str">
            <v>Emp</v>
          </cell>
          <cell r="N104" t="str">
            <v>Cost Per</v>
          </cell>
        </row>
        <row r="105">
          <cell r="D105" t="str">
            <v>Premium</v>
          </cell>
          <cell r="E105" t="str">
            <v>Expense</v>
          </cell>
          <cell r="F105" t="str">
            <v>Charge</v>
          </cell>
          <cell r="G105" t="str">
            <v>Claims</v>
          </cell>
          <cell r="H105" t="str">
            <v>Claims</v>
          </cell>
          <cell r="I105" t="str">
            <v>Claims</v>
          </cell>
          <cell r="J105" t="str">
            <v>Expenses</v>
          </cell>
          <cell r="K105" t="str">
            <v>Loss Ratio</v>
          </cell>
          <cell r="L105" t="str">
            <v>Monthly</v>
          </cell>
          <cell r="M105" t="str">
            <v>Count</v>
          </cell>
          <cell r="N105" t="str">
            <v>Employee</v>
          </cell>
        </row>
        <row r="106">
          <cell r="H106" t="str">
            <v>($75,000)</v>
          </cell>
          <cell r="I106" t="str">
            <v>D-E</v>
          </cell>
          <cell r="J106" t="str">
            <v>B+C+F</v>
          </cell>
          <cell r="K106" t="str">
            <v>G/A</v>
          </cell>
          <cell r="L106" t="str">
            <v>A-G</v>
          </cell>
          <cell r="N106" t="str">
            <v>G/J</v>
          </cell>
        </row>
        <row r="107">
          <cell r="B107" t="str">
            <v>1997/98</v>
          </cell>
        </row>
        <row r="108">
          <cell r="B108" t="str">
            <v>Plan Yr.</v>
          </cell>
          <cell r="D108">
            <v>273492</v>
          </cell>
          <cell r="E108">
            <v>10940</v>
          </cell>
          <cell r="F108">
            <v>47861</v>
          </cell>
          <cell r="G108">
            <v>199426</v>
          </cell>
          <cell r="H108">
            <v>0</v>
          </cell>
          <cell r="I108">
            <v>199426</v>
          </cell>
          <cell r="J108">
            <v>258227</v>
          </cell>
          <cell r="K108">
            <v>0.9441848390446521</v>
          </cell>
          <cell r="L108">
            <v>15265</v>
          </cell>
          <cell r="M108">
            <v>1507</v>
          </cell>
          <cell r="N108">
            <v>171.3516921035169</v>
          </cell>
        </row>
        <row r="109">
          <cell r="B109" t="str">
            <v>1997/98</v>
          </cell>
        </row>
        <row r="110">
          <cell r="B110" t="str">
            <v>Mo. Ave</v>
          </cell>
          <cell r="D110">
            <v>22791</v>
          </cell>
          <cell r="E110">
            <v>911.6666666666666</v>
          </cell>
          <cell r="F110">
            <v>3988.4166666666665</v>
          </cell>
          <cell r="G110">
            <v>16618.833333333332</v>
          </cell>
          <cell r="H110">
            <v>0</v>
          </cell>
          <cell r="I110">
            <v>16618.833333333332</v>
          </cell>
          <cell r="J110">
            <v>21518.916666666668</v>
          </cell>
          <cell r="K110">
            <v>0.9441848390446522</v>
          </cell>
          <cell r="L110">
            <v>1272.0833333333333</v>
          </cell>
          <cell r="M110">
            <v>125.58333333333333</v>
          </cell>
          <cell r="N110">
            <v>171.35169210351694</v>
          </cell>
        </row>
        <row r="112">
          <cell r="B112">
            <v>35827</v>
          </cell>
          <cell r="D112">
            <v>19608</v>
          </cell>
          <cell r="E112">
            <v>784.32</v>
          </cell>
          <cell r="F112">
            <v>3431.3999999999996</v>
          </cell>
          <cell r="G112">
            <v>9746</v>
          </cell>
          <cell r="H112">
            <v>0</v>
          </cell>
          <cell r="I112">
            <v>9746</v>
          </cell>
          <cell r="J112">
            <v>13961.72</v>
          </cell>
          <cell r="K112">
            <v>0.7120420236638106</v>
          </cell>
          <cell r="L112">
            <v>5646.280000000001</v>
          </cell>
          <cell r="M112">
            <v>112</v>
          </cell>
          <cell r="N112">
            <v>124.65821428571428</v>
          </cell>
        </row>
        <row r="113">
          <cell r="B113">
            <v>35855</v>
          </cell>
          <cell r="D113">
            <v>20822</v>
          </cell>
          <cell r="E113">
            <v>832.88</v>
          </cell>
          <cell r="F113">
            <v>3643.85</v>
          </cell>
          <cell r="G113">
            <v>7859</v>
          </cell>
          <cell r="H113">
            <v>0</v>
          </cell>
          <cell r="I113">
            <v>7859</v>
          </cell>
          <cell r="J113">
            <v>12335.73</v>
          </cell>
          <cell r="K113">
            <v>0.5924373259052924</v>
          </cell>
          <cell r="L113">
            <v>8486.27</v>
          </cell>
          <cell r="M113">
            <v>112</v>
          </cell>
          <cell r="N113">
            <v>110.14044642857142</v>
          </cell>
        </row>
        <row r="114">
          <cell r="B114">
            <v>35886</v>
          </cell>
          <cell r="D114">
            <v>20452</v>
          </cell>
          <cell r="E114">
            <v>818.08</v>
          </cell>
          <cell r="F114">
            <v>3579.1</v>
          </cell>
          <cell r="G114">
            <v>20758</v>
          </cell>
          <cell r="H114">
            <v>0</v>
          </cell>
          <cell r="I114">
            <v>20758</v>
          </cell>
          <cell r="J114">
            <v>25155.18</v>
          </cell>
          <cell r="K114">
            <v>1.2299618619205945</v>
          </cell>
          <cell r="L114">
            <v>-4703.18</v>
          </cell>
          <cell r="M114">
            <v>112</v>
          </cell>
          <cell r="N114">
            <v>224.59982142857143</v>
          </cell>
        </row>
        <row r="115">
          <cell r="B115">
            <v>35916</v>
          </cell>
          <cell r="D115">
            <v>19370</v>
          </cell>
          <cell r="E115">
            <v>774.8000000000001</v>
          </cell>
          <cell r="F115">
            <v>3389.75</v>
          </cell>
          <cell r="G115">
            <v>35170</v>
          </cell>
          <cell r="H115">
            <v>0</v>
          </cell>
          <cell r="I115">
            <v>35170</v>
          </cell>
          <cell r="J115">
            <v>39334.55</v>
          </cell>
          <cell r="K115">
            <v>2.030694372741353</v>
          </cell>
          <cell r="L115">
            <v>-19964.550000000003</v>
          </cell>
          <cell r="M115">
            <v>111</v>
          </cell>
          <cell r="N115">
            <v>354.36531531531534</v>
          </cell>
        </row>
        <row r="116">
          <cell r="B116">
            <v>35947</v>
          </cell>
          <cell r="D116">
            <v>19344</v>
          </cell>
          <cell r="E116">
            <v>773.76</v>
          </cell>
          <cell r="F116">
            <v>3385.2</v>
          </cell>
          <cell r="G116">
            <v>9538</v>
          </cell>
          <cell r="H116">
            <v>0</v>
          </cell>
          <cell r="I116">
            <v>9538</v>
          </cell>
          <cell r="J116">
            <v>13696.96</v>
          </cell>
          <cell r="K116">
            <v>0.7080727874276261</v>
          </cell>
          <cell r="L116">
            <v>5647.040000000001</v>
          </cell>
          <cell r="M116">
            <v>108</v>
          </cell>
          <cell r="N116">
            <v>126.8237037037037</v>
          </cell>
        </row>
        <row r="117">
          <cell r="B117">
            <v>35977</v>
          </cell>
          <cell r="D117">
            <v>19060</v>
          </cell>
          <cell r="E117">
            <v>762.4</v>
          </cell>
          <cell r="F117">
            <v>3335.5</v>
          </cell>
          <cell r="G117">
            <v>14775</v>
          </cell>
          <cell r="H117">
            <v>0</v>
          </cell>
          <cell r="I117">
            <v>14775</v>
          </cell>
          <cell r="J117">
            <v>18872.9</v>
          </cell>
          <cell r="K117">
            <v>0.990183630640084</v>
          </cell>
          <cell r="L117">
            <v>187.09999999999854</v>
          </cell>
          <cell r="M117">
            <v>106</v>
          </cell>
          <cell r="N117">
            <v>178.04622641509437</v>
          </cell>
        </row>
        <row r="118">
          <cell r="B118">
            <v>36008</v>
          </cell>
          <cell r="D118">
            <v>19262</v>
          </cell>
          <cell r="E118">
            <v>770.48</v>
          </cell>
          <cell r="F118">
            <v>3370.85</v>
          </cell>
          <cell r="G118">
            <v>9525.5</v>
          </cell>
          <cell r="H118">
            <v>0</v>
          </cell>
          <cell r="I118">
            <v>9525.5</v>
          </cell>
          <cell r="J118">
            <v>13666.83</v>
          </cell>
          <cell r="K118">
            <v>0.7095228948188143</v>
          </cell>
          <cell r="L118">
            <v>5595.17</v>
          </cell>
          <cell r="M118">
            <v>105</v>
          </cell>
          <cell r="N118">
            <v>130.16028571428572</v>
          </cell>
        </row>
        <row r="119">
          <cell r="B119">
            <v>36039</v>
          </cell>
          <cell r="D119">
            <v>21174.5</v>
          </cell>
          <cell r="E119">
            <v>846.98</v>
          </cell>
          <cell r="F119">
            <v>3705.5375</v>
          </cell>
          <cell r="G119">
            <v>26132.5</v>
          </cell>
          <cell r="H119">
            <v>0</v>
          </cell>
          <cell r="I119">
            <v>26132.5</v>
          </cell>
          <cell r="J119">
            <v>30685.0175</v>
          </cell>
          <cell r="K119">
            <v>1.4491495666957899</v>
          </cell>
          <cell r="L119">
            <v>-9510.517500000002</v>
          </cell>
          <cell r="M119">
            <v>116</v>
          </cell>
          <cell r="N119">
            <v>264.5260129310345</v>
          </cell>
        </row>
        <row r="120">
          <cell r="B120">
            <v>36069</v>
          </cell>
          <cell r="D120">
            <v>21995.5</v>
          </cell>
          <cell r="E120">
            <v>879.82</v>
          </cell>
          <cell r="F120">
            <v>3849.2124999999996</v>
          </cell>
          <cell r="G120">
            <v>32491</v>
          </cell>
          <cell r="H120">
            <v>0</v>
          </cell>
          <cell r="I120">
            <v>32491</v>
          </cell>
          <cell r="J120">
            <v>37220.0325</v>
          </cell>
          <cell r="K120">
            <v>1.6921657839103454</v>
          </cell>
          <cell r="L120">
            <v>-15224.532500000001</v>
          </cell>
          <cell r="M120">
            <v>119</v>
          </cell>
          <cell r="N120">
            <v>312.7733823529412</v>
          </cell>
        </row>
        <row r="121">
          <cell r="B121">
            <v>36100</v>
          </cell>
          <cell r="D121">
            <v>19574</v>
          </cell>
          <cell r="E121">
            <v>782.96</v>
          </cell>
          <cell r="F121">
            <v>3425.45</v>
          </cell>
          <cell r="G121">
            <v>43938</v>
          </cell>
          <cell r="H121">
            <v>0</v>
          </cell>
          <cell r="I121">
            <v>43938</v>
          </cell>
          <cell r="J121">
            <v>48146.41</v>
          </cell>
          <cell r="K121">
            <v>2.459712373556759</v>
          </cell>
          <cell r="L121">
            <v>-28572.410000000003</v>
          </cell>
          <cell r="M121">
            <v>110</v>
          </cell>
          <cell r="N121">
            <v>437.6946363636364</v>
          </cell>
        </row>
        <row r="122">
          <cell r="B122">
            <v>36130</v>
          </cell>
          <cell r="D122">
            <v>20280</v>
          </cell>
          <cell r="E122">
            <v>811.2</v>
          </cell>
          <cell r="F122">
            <v>3549</v>
          </cell>
          <cell r="G122">
            <v>11208</v>
          </cell>
          <cell r="H122">
            <v>0</v>
          </cell>
          <cell r="I122">
            <v>11208</v>
          </cell>
          <cell r="J122">
            <v>15568.2</v>
          </cell>
          <cell r="K122">
            <v>0.7676627218934912</v>
          </cell>
          <cell r="L122">
            <v>4711.799999999999</v>
          </cell>
          <cell r="M122">
            <v>113</v>
          </cell>
          <cell r="N122">
            <v>137.7716814159292</v>
          </cell>
        </row>
        <row r="123">
          <cell r="B123">
            <v>36161</v>
          </cell>
          <cell r="D123">
            <v>19830</v>
          </cell>
          <cell r="E123">
            <v>793.2</v>
          </cell>
          <cell r="F123">
            <v>3470.25</v>
          </cell>
          <cell r="G123">
            <v>9589</v>
          </cell>
          <cell r="H123">
            <v>0</v>
          </cell>
          <cell r="I123">
            <v>9589</v>
          </cell>
          <cell r="J123">
            <v>13852.45</v>
          </cell>
          <cell r="K123">
            <v>0.6985602622289461</v>
          </cell>
          <cell r="L123">
            <v>5977.549999999999</v>
          </cell>
          <cell r="M123">
            <v>110</v>
          </cell>
          <cell r="N123">
            <v>125.93136363636364</v>
          </cell>
        </row>
        <row r="125">
          <cell r="B125" t="str">
            <v>1998/99</v>
          </cell>
        </row>
        <row r="126">
          <cell r="B126" t="str">
            <v>Plan Yr.</v>
          </cell>
          <cell r="D126">
            <v>240772</v>
          </cell>
          <cell r="E126">
            <v>9630.88</v>
          </cell>
          <cell r="F126">
            <v>42135.09999999999</v>
          </cell>
          <cell r="G126">
            <v>230730</v>
          </cell>
          <cell r="H126">
            <v>0</v>
          </cell>
          <cell r="I126">
            <v>230730</v>
          </cell>
          <cell r="J126">
            <v>282495.98</v>
          </cell>
          <cell r="K126">
            <v>1.1732924924825145</v>
          </cell>
          <cell r="L126">
            <v>-41723.98000000001</v>
          </cell>
          <cell r="M126">
            <v>1334</v>
          </cell>
          <cell r="N126">
            <v>211.76610194902548</v>
          </cell>
        </row>
        <row r="127">
          <cell r="B127" t="str">
            <v>1998/99</v>
          </cell>
        </row>
        <row r="128">
          <cell r="A128" t="e">
            <v>#VALUE!</v>
          </cell>
          <cell r="B128" t="str">
            <v>Mo. Ave</v>
          </cell>
          <cell r="D128">
            <v>20064.333333333332</v>
          </cell>
          <cell r="E128">
            <v>802.5733333333333</v>
          </cell>
          <cell r="F128">
            <v>3511.2583333333328</v>
          </cell>
          <cell r="G128">
            <v>19227.5</v>
          </cell>
          <cell r="H128">
            <v>0</v>
          </cell>
          <cell r="I128">
            <v>19227.5</v>
          </cell>
          <cell r="J128">
            <v>23541.331666666665</v>
          </cell>
          <cell r="K128">
            <v>1.1732924924825145</v>
          </cell>
          <cell r="L128">
            <v>-3476.9983333333344</v>
          </cell>
          <cell r="M128">
            <v>111.16666666666667</v>
          </cell>
          <cell r="N128">
            <v>211.76610194902545</v>
          </cell>
        </row>
        <row r="130">
          <cell r="B130" t="str">
            <v>Large claim activity (Combined PPO &amp; Traditional Plans):</v>
          </cell>
        </row>
        <row r="131">
          <cell r="A131" t="str">
            <v>Rate Stabilization Reserve (RSR)</v>
          </cell>
        </row>
        <row r="135">
          <cell r="D135" t="str">
            <v>RSR as of February 1, 1994:</v>
          </cell>
          <cell r="L135">
            <v>-378625</v>
          </cell>
        </row>
        <row r="136">
          <cell r="D136" t="str">
            <v>   2/1/94 to 1/31/95 Contract Year Gain or (Loss):</v>
          </cell>
          <cell r="L136">
            <v>30791</v>
          </cell>
        </row>
        <row r="138">
          <cell r="D138" t="str">
            <v>RSR as of February 1, 1995:</v>
          </cell>
          <cell r="L138">
            <v>-347834</v>
          </cell>
        </row>
        <row r="139">
          <cell r="D139" t="str">
            <v>   2/1/95 to 1/31/96 Contract Year Gain or (Loss):</v>
          </cell>
          <cell r="L139">
            <v>92407</v>
          </cell>
        </row>
        <row r="141">
          <cell r="D141" t="str">
            <v>RSR as of February 1, 1996:</v>
          </cell>
          <cell r="L141">
            <v>-255427</v>
          </cell>
        </row>
        <row r="142">
          <cell r="D142" t="str">
            <v>   2/1/96 to 1/31/97 Contract Year Gain or (Loss):</v>
          </cell>
          <cell r="L142">
            <v>133736</v>
          </cell>
        </row>
        <row r="145">
          <cell r="D145" t="str">
            <v>RSR as of February 1, 1997:</v>
          </cell>
          <cell r="L145">
            <v>-121691</v>
          </cell>
        </row>
        <row r="146">
          <cell r="D146" t="str">
            <v>   2/1/97 to 1/31/98 Contract Year Gain or (Loss):</v>
          </cell>
          <cell r="L146">
            <v>11449</v>
          </cell>
        </row>
        <row r="149">
          <cell r="D149" t="str">
            <v>RSR as of February 1, 1998:</v>
          </cell>
          <cell r="L149">
            <v>-110242</v>
          </cell>
        </row>
        <row r="151">
          <cell r="D151" t="str">
            <v>Current Contract Year Gain or (Loss):</v>
          </cell>
          <cell r="L151">
            <v>-36783.748000000014</v>
          </cell>
        </row>
        <row r="154">
          <cell r="D154" t="str">
            <v>Gain or (Loss) to Date:</v>
          </cell>
          <cell r="L154">
            <v>-147025.74800000002</v>
          </cell>
          <cell r="M154" t="str">
            <v>*</v>
          </cell>
        </row>
        <row r="156">
          <cell r="D156" t="str">
            <v>* Subject to Year End Accounting</v>
          </cell>
        </row>
      </sheetData>
      <sheetData sheetId="4">
        <row r="2">
          <cell r="A2" t="str">
            <v>Medical Plan Experience - MSC</v>
          </cell>
        </row>
        <row r="23">
          <cell r="G23" t="str">
            <v>Contract Period</v>
          </cell>
          <cell r="J23" t="str">
            <v>Renewal Period</v>
          </cell>
        </row>
        <row r="24">
          <cell r="G24" t="str">
            <v>Feb 99 - Aug 99</v>
          </cell>
          <cell r="J24" t="str">
            <v>Sept 98 - Aug 99</v>
          </cell>
        </row>
        <row r="26">
          <cell r="C26" t="str">
            <v>Premium</v>
          </cell>
          <cell r="G26">
            <v>286367.76</v>
          </cell>
          <cell r="J26">
            <v>392608.86</v>
          </cell>
        </row>
        <row r="28">
          <cell r="C28" t="str">
            <v>Administration</v>
          </cell>
          <cell r="G28">
            <v>50093.6016</v>
          </cell>
          <cell r="J28">
            <v>68634.9876</v>
          </cell>
        </row>
        <row r="30">
          <cell r="C30" t="str">
            <v>Pooling Expense</v>
          </cell>
          <cell r="G30">
            <v>11454.7104</v>
          </cell>
          <cell r="J30">
            <v>15704.3544</v>
          </cell>
        </row>
        <row r="32">
          <cell r="C32" t="str">
            <v>Net Paid Claims</v>
          </cell>
          <cell r="G32">
            <v>134201</v>
          </cell>
          <cell r="J32">
            <v>258760.5</v>
          </cell>
        </row>
        <row r="34">
          <cell r="C34" t="str">
            <v>Total Expenses</v>
          </cell>
          <cell r="G34">
            <v>195749.312</v>
          </cell>
          <cell r="J34">
            <v>343099.84200000006</v>
          </cell>
        </row>
        <row r="36">
          <cell r="C36" t="str">
            <v>Expense Loss Ratio</v>
          </cell>
          <cell r="G36">
            <v>0.683559182779514</v>
          </cell>
          <cell r="J36">
            <v>0.8738973491326714</v>
          </cell>
        </row>
        <row r="38">
          <cell r="A38" t="str">
            <v>Combined Medical Plan Experience</v>
          </cell>
        </row>
        <row r="40">
          <cell r="D40" t="str">
            <v>A</v>
          </cell>
          <cell r="E40" t="str">
            <v>B</v>
          </cell>
          <cell r="F40" t="str">
            <v>C</v>
          </cell>
          <cell r="G40" t="str">
            <v>D</v>
          </cell>
          <cell r="H40" t="str">
            <v>E</v>
          </cell>
          <cell r="I40" t="str">
            <v>F</v>
          </cell>
          <cell r="J40" t="str">
            <v>G</v>
          </cell>
          <cell r="K40" t="str">
            <v>H</v>
          </cell>
          <cell r="L40" t="str">
            <v>I</v>
          </cell>
          <cell r="M40" t="str">
            <v>J</v>
          </cell>
          <cell r="N40" t="str">
            <v>K</v>
          </cell>
        </row>
        <row r="41">
          <cell r="D41" t="str">
            <v>Billed</v>
          </cell>
          <cell r="E41" t="str">
            <v>Pooling</v>
          </cell>
          <cell r="F41" t="str">
            <v>Retention</v>
          </cell>
          <cell r="G41" t="str">
            <v>Gross</v>
          </cell>
          <cell r="H41" t="str">
            <v>Pooled</v>
          </cell>
          <cell r="I41" t="str">
            <v>Net Paid</v>
          </cell>
          <cell r="J41" t="str">
            <v>Total</v>
          </cell>
          <cell r="K41" t="str">
            <v>Expense</v>
          </cell>
          <cell r="L41" t="str">
            <v>Gain/(Loss)</v>
          </cell>
          <cell r="M41" t="str">
            <v>Emp</v>
          </cell>
          <cell r="N41" t="str">
            <v>Cost Per</v>
          </cell>
        </row>
        <row r="42">
          <cell r="D42" t="str">
            <v>Premium</v>
          </cell>
          <cell r="E42" t="str">
            <v>Expense</v>
          </cell>
          <cell r="F42" t="str">
            <v>Charge</v>
          </cell>
          <cell r="G42" t="str">
            <v>Claims</v>
          </cell>
          <cell r="H42" t="str">
            <v>Claims</v>
          </cell>
          <cell r="I42" t="str">
            <v>Claims</v>
          </cell>
          <cell r="J42" t="str">
            <v>Expenses</v>
          </cell>
          <cell r="K42" t="str">
            <v>Loss Ratio</v>
          </cell>
          <cell r="L42" t="str">
            <v>Monthly</v>
          </cell>
          <cell r="M42" t="str">
            <v>Count</v>
          </cell>
          <cell r="N42" t="str">
            <v>Employee</v>
          </cell>
        </row>
        <row r="43">
          <cell r="H43" t="str">
            <v>($75,000)</v>
          </cell>
          <cell r="I43" t="str">
            <v>D-E</v>
          </cell>
          <cell r="J43" t="str">
            <v>B+C+F</v>
          </cell>
          <cell r="K43" t="str">
            <v>G/A</v>
          </cell>
          <cell r="L43" t="str">
            <v>A-G</v>
          </cell>
          <cell r="N43" t="str">
            <v>G/J</v>
          </cell>
        </row>
        <row r="44">
          <cell r="B44" t="str">
            <v>1998/99</v>
          </cell>
        </row>
        <row r="45">
          <cell r="B45" t="str">
            <v>Plan Yr.</v>
          </cell>
          <cell r="D45">
            <v>248901.04</v>
          </cell>
          <cell r="E45">
            <v>9956.0416</v>
          </cell>
          <cell r="F45">
            <v>43435.746399999996</v>
          </cell>
          <cell r="G45">
            <v>232292</v>
          </cell>
          <cell r="H45">
            <v>0</v>
          </cell>
          <cell r="I45">
            <v>232292</v>
          </cell>
          <cell r="J45">
            <v>285683.788</v>
          </cell>
          <cell r="K45">
            <v>1.1477806119251248</v>
          </cell>
          <cell r="L45">
            <v>-36782.74799999999</v>
          </cell>
          <cell r="M45">
            <v>1358</v>
          </cell>
          <cell r="N45">
            <v>210.37097790868924</v>
          </cell>
        </row>
        <row r="46">
          <cell r="B46" t="str">
            <v>1998/99</v>
          </cell>
        </row>
        <row r="47">
          <cell r="B47" t="str">
            <v>Mo. Ave</v>
          </cell>
          <cell r="D47">
            <v>20741.753333333334</v>
          </cell>
          <cell r="E47">
            <v>829.6701333333334</v>
          </cell>
          <cell r="F47">
            <v>3619.645533333333</v>
          </cell>
          <cell r="G47">
            <v>19357.666666666668</v>
          </cell>
          <cell r="H47">
            <v>0</v>
          </cell>
          <cell r="I47">
            <v>19357.666666666668</v>
          </cell>
          <cell r="J47">
            <v>23806.982333333333</v>
          </cell>
          <cell r="K47">
            <v>1.1477806119251248</v>
          </cell>
          <cell r="L47">
            <v>-3065.2289999999994</v>
          </cell>
          <cell r="M47">
            <v>113.16666666666667</v>
          </cell>
          <cell r="N47">
            <v>210.37097790868924</v>
          </cell>
        </row>
        <row r="49">
          <cell r="B49">
            <v>36039</v>
          </cell>
          <cell r="D49">
            <v>21851.92</v>
          </cell>
          <cell r="E49">
            <v>874.0768</v>
          </cell>
          <cell r="F49">
            <v>3813.9247</v>
          </cell>
          <cell r="G49">
            <v>26267.5</v>
          </cell>
          <cell r="H49">
            <v>0</v>
          </cell>
          <cell r="I49">
            <v>26267.5</v>
          </cell>
          <cell r="J49">
            <v>30955.5015</v>
          </cell>
          <cell r="K49">
            <v>1.416603277881303</v>
          </cell>
          <cell r="L49">
            <v>-9103.5815</v>
          </cell>
          <cell r="M49">
            <v>118</v>
          </cell>
          <cell r="N49">
            <v>262.33475847457623</v>
          </cell>
        </row>
        <row r="50">
          <cell r="B50">
            <v>36069</v>
          </cell>
          <cell r="D50">
            <v>22672.92</v>
          </cell>
          <cell r="E50">
            <v>906.9168000000001</v>
          </cell>
          <cell r="F50">
            <v>3957.5996999999998</v>
          </cell>
          <cell r="G50">
            <v>32691</v>
          </cell>
          <cell r="H50">
            <v>0</v>
          </cell>
          <cell r="I50">
            <v>32691</v>
          </cell>
          <cell r="J50">
            <v>37555.5165</v>
          </cell>
          <cell r="K50">
            <v>1.6564040494122505</v>
          </cell>
          <cell r="L50">
            <v>-14882.5965</v>
          </cell>
          <cell r="M50">
            <v>121</v>
          </cell>
          <cell r="N50">
            <v>310.3761694214876</v>
          </cell>
        </row>
        <row r="51">
          <cell r="B51">
            <v>36100</v>
          </cell>
          <cell r="D51">
            <v>20251.42</v>
          </cell>
          <cell r="E51">
            <v>810.0568000000001</v>
          </cell>
          <cell r="F51">
            <v>3533.8372</v>
          </cell>
          <cell r="G51">
            <v>44005</v>
          </cell>
          <cell r="H51">
            <v>0</v>
          </cell>
          <cell r="I51">
            <v>44005</v>
          </cell>
          <cell r="J51">
            <v>48348.894</v>
          </cell>
          <cell r="K51">
            <v>2.387432288698768</v>
          </cell>
          <cell r="L51">
            <v>-28097.474000000002</v>
          </cell>
          <cell r="M51">
            <v>112</v>
          </cell>
          <cell r="N51">
            <v>431.6865535714286</v>
          </cell>
        </row>
        <row r="52">
          <cell r="B52">
            <v>36130</v>
          </cell>
          <cell r="D52">
            <v>20957.42</v>
          </cell>
          <cell r="E52">
            <v>838.2968000000001</v>
          </cell>
          <cell r="F52">
            <v>3657.3872</v>
          </cell>
          <cell r="G52">
            <v>11212</v>
          </cell>
          <cell r="H52">
            <v>0</v>
          </cell>
          <cell r="I52">
            <v>11212</v>
          </cell>
          <cell r="J52">
            <v>15707.684000000001</v>
          </cell>
          <cell r="K52">
            <v>0.7495046623105326</v>
          </cell>
          <cell r="L52">
            <v>5249.735999999997</v>
          </cell>
          <cell r="M52">
            <v>115</v>
          </cell>
          <cell r="N52">
            <v>136.58855652173915</v>
          </cell>
        </row>
        <row r="53">
          <cell r="B53">
            <v>36161</v>
          </cell>
          <cell r="D53">
            <v>20507.42</v>
          </cell>
          <cell r="E53">
            <v>820.2968000000001</v>
          </cell>
          <cell r="F53">
            <v>3578.6372</v>
          </cell>
          <cell r="G53">
            <v>10384</v>
          </cell>
          <cell r="H53">
            <v>0</v>
          </cell>
          <cell r="I53">
            <v>10384</v>
          </cell>
          <cell r="J53">
            <v>14782.934000000001</v>
          </cell>
          <cell r="K53">
            <v>0.7208578163415974</v>
          </cell>
          <cell r="L53">
            <v>5724.485999999997</v>
          </cell>
          <cell r="M53">
            <v>112</v>
          </cell>
          <cell r="N53">
            <v>131.99048214285716</v>
          </cell>
        </row>
        <row r="54">
          <cell r="B54">
            <v>36192</v>
          </cell>
          <cell r="D54">
            <v>44091.68</v>
          </cell>
          <cell r="E54">
            <v>1763.6671999999999</v>
          </cell>
          <cell r="F54">
            <v>7713.0788</v>
          </cell>
          <cell r="G54">
            <v>7698</v>
          </cell>
          <cell r="H54">
            <v>0</v>
          </cell>
          <cell r="I54">
            <v>7698</v>
          </cell>
          <cell r="J54">
            <v>17174.746</v>
          </cell>
          <cell r="K54">
            <v>0.38952351101160126</v>
          </cell>
          <cell r="L54">
            <v>26916.934</v>
          </cell>
          <cell r="M54">
            <v>193</v>
          </cell>
          <cell r="N54">
            <v>88.98832124352332</v>
          </cell>
        </row>
        <row r="55">
          <cell r="B55">
            <v>36220</v>
          </cell>
          <cell r="D55">
            <v>44124.68</v>
          </cell>
          <cell r="E55">
            <v>1764.9872</v>
          </cell>
          <cell r="F55">
            <v>7718.853799999999</v>
          </cell>
          <cell r="G55">
            <v>16954</v>
          </cell>
          <cell r="H55">
            <v>0</v>
          </cell>
          <cell r="I55">
            <v>16954</v>
          </cell>
          <cell r="J55">
            <v>26437.841</v>
          </cell>
          <cell r="K55">
            <v>0.5991622148874507</v>
          </cell>
          <cell r="L55">
            <v>17686.839</v>
          </cell>
          <cell r="M55">
            <v>196</v>
          </cell>
          <cell r="N55">
            <v>134.88694387755103</v>
          </cell>
        </row>
        <row r="56">
          <cell r="B56">
            <v>36251</v>
          </cell>
          <cell r="D56">
            <v>39296.68</v>
          </cell>
          <cell r="E56">
            <v>1571.8672000000001</v>
          </cell>
          <cell r="F56">
            <v>6873.953799999999</v>
          </cell>
          <cell r="G56">
            <v>16897</v>
          </cell>
          <cell r="H56">
            <v>0</v>
          </cell>
          <cell r="I56">
            <v>16897</v>
          </cell>
          <cell r="J56">
            <v>25342.821</v>
          </cell>
          <cell r="K56">
            <v>0.6449099771278388</v>
          </cell>
          <cell r="L56">
            <v>13953.859</v>
          </cell>
          <cell r="M56">
            <v>191</v>
          </cell>
          <cell r="N56">
            <v>132.68492670157067</v>
          </cell>
        </row>
        <row r="57">
          <cell r="B57">
            <v>36281</v>
          </cell>
          <cell r="D57">
            <v>39374.68</v>
          </cell>
          <cell r="E57">
            <v>1574.9872</v>
          </cell>
          <cell r="F57">
            <v>6887.603799999999</v>
          </cell>
          <cell r="G57">
            <v>19840</v>
          </cell>
          <cell r="H57">
            <v>0</v>
          </cell>
          <cell r="I57">
            <v>19840</v>
          </cell>
          <cell r="J57">
            <v>28302.591</v>
          </cell>
          <cell r="K57">
            <v>0.7188018035956102</v>
          </cell>
          <cell r="L57">
            <v>11072.089</v>
          </cell>
          <cell r="M57">
            <v>183</v>
          </cell>
          <cell r="N57">
            <v>154.65896721311475</v>
          </cell>
        </row>
        <row r="58">
          <cell r="B58">
            <v>36312</v>
          </cell>
          <cell r="D58">
            <v>39881.68</v>
          </cell>
          <cell r="E58">
            <v>1595.2672</v>
          </cell>
          <cell r="F58">
            <v>6976.328799999999</v>
          </cell>
          <cell r="G58">
            <v>28390</v>
          </cell>
          <cell r="H58">
            <v>0</v>
          </cell>
          <cell r="I58">
            <v>28390</v>
          </cell>
          <cell r="J58">
            <v>36961.596</v>
          </cell>
          <cell r="K58">
            <v>0.926781319142022</v>
          </cell>
          <cell r="L58">
            <v>2920.0840000000026</v>
          </cell>
          <cell r="M58">
            <v>183</v>
          </cell>
          <cell r="N58">
            <v>201.9759344262295</v>
          </cell>
        </row>
        <row r="59">
          <cell r="B59">
            <v>36342</v>
          </cell>
          <cell r="D59">
            <v>40137.68</v>
          </cell>
          <cell r="E59">
            <v>1605.5072</v>
          </cell>
          <cell r="F59">
            <v>7021.1287999999995</v>
          </cell>
          <cell r="G59">
            <v>22965</v>
          </cell>
          <cell r="H59">
            <v>0</v>
          </cell>
          <cell r="I59">
            <v>22965</v>
          </cell>
          <cell r="J59">
            <v>31591.636</v>
          </cell>
          <cell r="K59">
            <v>0.7870817645663626</v>
          </cell>
          <cell r="L59">
            <v>8546.044000000002</v>
          </cell>
          <cell r="M59">
            <v>183</v>
          </cell>
          <cell r="N59">
            <v>172.6318907103825</v>
          </cell>
        </row>
        <row r="60">
          <cell r="B60">
            <v>36373</v>
          </cell>
          <cell r="D60">
            <v>39460.68</v>
          </cell>
          <cell r="E60">
            <v>1578.4272</v>
          </cell>
          <cell r="F60">
            <v>6902.653799999999</v>
          </cell>
          <cell r="G60">
            <v>21457</v>
          </cell>
          <cell r="H60">
            <v>0</v>
          </cell>
          <cell r="I60">
            <v>21457</v>
          </cell>
          <cell r="J60">
            <v>29938.081</v>
          </cell>
          <cell r="K60">
            <v>0.7586813253091431</v>
          </cell>
          <cell r="L60">
            <v>9522.599000000002</v>
          </cell>
          <cell r="M60">
            <v>184</v>
          </cell>
          <cell r="N60">
            <v>162.70696195652172</v>
          </cell>
        </row>
        <row r="62">
          <cell r="B62" t="str">
            <v>Contract</v>
          </cell>
        </row>
        <row r="63">
          <cell r="B63" t="str">
            <v>2/99 - 8/99</v>
          </cell>
          <cell r="D63">
            <v>286367.76</v>
          </cell>
          <cell r="E63">
            <v>11454.7104</v>
          </cell>
          <cell r="F63">
            <v>50093.6016</v>
          </cell>
          <cell r="G63">
            <v>134201</v>
          </cell>
          <cell r="H63">
            <v>0</v>
          </cell>
          <cell r="I63">
            <v>134201</v>
          </cell>
          <cell r="J63">
            <v>195749.312</v>
          </cell>
          <cell r="K63">
            <v>0.683559182779514</v>
          </cell>
          <cell r="L63">
            <v>90618.44799999999</v>
          </cell>
          <cell r="M63">
            <v>1313</v>
          </cell>
          <cell r="N63">
            <v>149.08553846153848</v>
          </cell>
        </row>
        <row r="64">
          <cell r="B64" t="str">
            <v>Renewal</v>
          </cell>
        </row>
        <row r="65">
          <cell r="B65" t="str">
            <v>9/98 - 8/99</v>
          </cell>
          <cell r="D65">
            <v>392608.86</v>
          </cell>
          <cell r="E65">
            <v>15704.3544</v>
          </cell>
          <cell r="F65">
            <v>68634.9876</v>
          </cell>
          <cell r="G65">
            <v>258760.5</v>
          </cell>
          <cell r="H65">
            <v>0</v>
          </cell>
          <cell r="I65">
            <v>258760.5</v>
          </cell>
          <cell r="J65">
            <v>343099.84200000006</v>
          </cell>
          <cell r="K65">
            <v>0.8738973491326714</v>
          </cell>
          <cell r="L65">
            <v>49509.018</v>
          </cell>
          <cell r="M65">
            <v>1891</v>
          </cell>
          <cell r="N65">
            <v>181.43830883130622</v>
          </cell>
        </row>
        <row r="67">
          <cell r="B67" t="str">
            <v>Mo. Ave</v>
          </cell>
          <cell r="D67">
            <v>32717.405</v>
          </cell>
          <cell r="E67">
            <v>1308.6962</v>
          </cell>
          <cell r="F67">
            <v>5719.582299999999</v>
          </cell>
          <cell r="G67">
            <v>21563.375</v>
          </cell>
          <cell r="H67">
            <v>0</v>
          </cell>
          <cell r="I67">
            <v>21563.375</v>
          </cell>
          <cell r="J67">
            <v>28591.653500000004</v>
          </cell>
          <cell r="K67">
            <v>0.8738973491326713</v>
          </cell>
          <cell r="L67">
            <v>4125.751499999999</v>
          </cell>
          <cell r="M67">
            <v>157.58333333333334</v>
          </cell>
          <cell r="N67">
            <v>181.4383088313062</v>
          </cell>
        </row>
        <row r="73">
          <cell r="A73" t="str">
            <v>Traditional Plan Experience #1806 &amp; 2982</v>
          </cell>
        </row>
        <row r="75">
          <cell r="D75" t="str">
            <v>A</v>
          </cell>
          <cell r="E75" t="str">
            <v>B</v>
          </cell>
          <cell r="F75" t="str">
            <v>C</v>
          </cell>
          <cell r="G75" t="str">
            <v>D</v>
          </cell>
          <cell r="H75" t="str">
            <v>E</v>
          </cell>
          <cell r="I75" t="str">
            <v>F</v>
          </cell>
          <cell r="J75" t="str">
            <v>G</v>
          </cell>
          <cell r="K75" t="str">
            <v>H</v>
          </cell>
          <cell r="L75" t="str">
            <v>I</v>
          </cell>
          <cell r="M75" t="str">
            <v>J</v>
          </cell>
          <cell r="N75" t="str">
            <v>K</v>
          </cell>
        </row>
        <row r="76">
          <cell r="D76" t="str">
            <v>Billed</v>
          </cell>
          <cell r="E76" t="str">
            <v>Pooling</v>
          </cell>
          <cell r="F76" t="str">
            <v>Retention</v>
          </cell>
          <cell r="G76" t="str">
            <v>Gross</v>
          </cell>
          <cell r="H76" t="str">
            <v>Pooled</v>
          </cell>
          <cell r="I76" t="str">
            <v>Net Paid</v>
          </cell>
          <cell r="J76" t="str">
            <v>Total</v>
          </cell>
          <cell r="K76" t="str">
            <v>Expense</v>
          </cell>
          <cell r="L76" t="str">
            <v>Gain/(Loss)</v>
          </cell>
          <cell r="M76" t="str">
            <v>Emp</v>
          </cell>
          <cell r="N76" t="str">
            <v>Cost Per</v>
          </cell>
        </row>
        <row r="77">
          <cell r="D77" t="str">
            <v>Premium</v>
          </cell>
          <cell r="E77" t="str">
            <v>Expense</v>
          </cell>
          <cell r="F77" t="str">
            <v>Charge</v>
          </cell>
          <cell r="G77" t="str">
            <v>Claims</v>
          </cell>
          <cell r="H77" t="str">
            <v>Claims</v>
          </cell>
          <cell r="I77" t="str">
            <v>Claims</v>
          </cell>
          <cell r="J77" t="str">
            <v>Expenses</v>
          </cell>
          <cell r="K77" t="str">
            <v>Loss Ratio</v>
          </cell>
          <cell r="L77" t="str">
            <v>Monthly</v>
          </cell>
          <cell r="M77" t="str">
            <v>Count</v>
          </cell>
          <cell r="N77" t="str">
            <v>Employee</v>
          </cell>
        </row>
        <row r="78">
          <cell r="H78" t="str">
            <v>($75,000)</v>
          </cell>
          <cell r="I78" t="str">
            <v>D-E</v>
          </cell>
          <cell r="J78" t="str">
            <v>B+C+F</v>
          </cell>
          <cell r="K78" t="str">
            <v>G/A</v>
          </cell>
          <cell r="L78" t="str">
            <v>A-G</v>
          </cell>
          <cell r="N78" t="str">
            <v>G/J</v>
          </cell>
        </row>
        <row r="79">
          <cell r="B79" t="str">
            <v>1998/99</v>
          </cell>
        </row>
        <row r="80">
          <cell r="B80" t="str">
            <v>Plan Yr.</v>
          </cell>
          <cell r="D80">
            <v>8129.04</v>
          </cell>
          <cell r="E80">
            <v>325.1616</v>
          </cell>
          <cell r="F80">
            <v>1300.6464</v>
          </cell>
          <cell r="G80">
            <v>1562</v>
          </cell>
          <cell r="H80">
            <v>0</v>
          </cell>
          <cell r="I80">
            <v>1562</v>
          </cell>
          <cell r="J80">
            <v>3187.808</v>
          </cell>
          <cell r="K80">
            <v>0.39215061065021206</v>
          </cell>
          <cell r="L80">
            <v>4941.232</v>
          </cell>
          <cell r="M80">
            <v>24</v>
          </cell>
          <cell r="N80">
            <v>132.82533333333333</v>
          </cell>
        </row>
        <row r="81">
          <cell r="B81" t="str">
            <v>1998/99</v>
          </cell>
        </row>
        <row r="82">
          <cell r="B82" t="str">
            <v>Mo. Ave</v>
          </cell>
          <cell r="D82">
            <v>677.42</v>
          </cell>
          <cell r="E82">
            <v>27.0968</v>
          </cell>
          <cell r="F82">
            <v>108.3872</v>
          </cell>
          <cell r="G82">
            <v>130.16666666666666</v>
          </cell>
          <cell r="H82">
            <v>0</v>
          </cell>
          <cell r="I82">
            <v>130.16666666666666</v>
          </cell>
          <cell r="J82">
            <v>265.65066666666667</v>
          </cell>
          <cell r="K82">
            <v>0.3921506106502121</v>
          </cell>
          <cell r="L82">
            <v>411.76933333333335</v>
          </cell>
          <cell r="M82">
            <v>2</v>
          </cell>
          <cell r="N82">
            <v>132.82533333333333</v>
          </cell>
        </row>
        <row r="84">
          <cell r="B84">
            <v>36039</v>
          </cell>
          <cell r="D84">
            <v>677.42</v>
          </cell>
          <cell r="E84">
            <v>27.096799999999998</v>
          </cell>
          <cell r="F84">
            <v>108.38719999999999</v>
          </cell>
          <cell r="G84">
            <v>135</v>
          </cell>
          <cell r="H84">
            <v>0</v>
          </cell>
          <cell r="I84">
            <v>135</v>
          </cell>
          <cell r="J84">
            <v>270.484</v>
          </cell>
          <cell r="K84">
            <v>0.3992855244899767</v>
          </cell>
          <cell r="L84">
            <v>406.936</v>
          </cell>
          <cell r="M84">
            <v>2</v>
          </cell>
          <cell r="N84">
            <v>135.242</v>
          </cell>
        </row>
        <row r="85">
          <cell r="B85">
            <v>36069</v>
          </cell>
          <cell r="D85">
            <v>677.42</v>
          </cell>
          <cell r="E85">
            <v>27.096799999999998</v>
          </cell>
          <cell r="F85">
            <v>108.38719999999999</v>
          </cell>
          <cell r="G85">
            <v>200</v>
          </cell>
          <cell r="H85">
            <v>0</v>
          </cell>
          <cell r="I85">
            <v>200</v>
          </cell>
          <cell r="J85">
            <v>335.484</v>
          </cell>
          <cell r="K85">
            <v>0.4952378140592247</v>
          </cell>
          <cell r="L85">
            <v>341.936</v>
          </cell>
          <cell r="M85">
            <v>2</v>
          </cell>
          <cell r="N85">
            <v>167.742</v>
          </cell>
        </row>
        <row r="86">
          <cell r="B86">
            <v>36100</v>
          </cell>
          <cell r="D86">
            <v>677.42</v>
          </cell>
          <cell r="E86">
            <v>27.096799999999998</v>
          </cell>
          <cell r="F86">
            <v>108.38719999999999</v>
          </cell>
          <cell r="G86">
            <v>67</v>
          </cell>
          <cell r="H86">
            <v>0</v>
          </cell>
          <cell r="I86">
            <v>67</v>
          </cell>
          <cell r="J86">
            <v>202.48399999999998</v>
          </cell>
          <cell r="K86">
            <v>0.29890466770984025</v>
          </cell>
          <cell r="L86">
            <v>474.936</v>
          </cell>
          <cell r="M86">
            <v>2</v>
          </cell>
          <cell r="N86">
            <v>101.24199999999999</v>
          </cell>
        </row>
        <row r="87">
          <cell r="B87">
            <v>36130</v>
          </cell>
          <cell r="D87">
            <v>677.42</v>
          </cell>
          <cell r="E87">
            <v>27.096799999999998</v>
          </cell>
          <cell r="F87">
            <v>108.38719999999999</v>
          </cell>
          <cell r="G87">
            <v>4</v>
          </cell>
          <cell r="H87">
            <v>0</v>
          </cell>
          <cell r="I87">
            <v>4</v>
          </cell>
          <cell r="J87">
            <v>139.48399999999998</v>
          </cell>
          <cell r="K87">
            <v>0.2059047562811845</v>
          </cell>
          <cell r="L87">
            <v>537.9359999999999</v>
          </cell>
          <cell r="M87">
            <v>2</v>
          </cell>
          <cell r="N87">
            <v>69.74199999999999</v>
          </cell>
        </row>
        <row r="88">
          <cell r="B88">
            <v>36161</v>
          </cell>
          <cell r="D88">
            <v>677.42</v>
          </cell>
          <cell r="E88">
            <v>27.096799999999998</v>
          </cell>
          <cell r="F88">
            <v>108.38719999999999</v>
          </cell>
          <cell r="G88">
            <v>795</v>
          </cell>
          <cell r="H88">
            <v>0</v>
          </cell>
          <cell r="I88">
            <v>795</v>
          </cell>
          <cell r="J88">
            <v>930.4839999999999</v>
          </cell>
          <cell r="K88">
            <v>1.3735703108854183</v>
          </cell>
          <cell r="L88">
            <v>-253.06399999999996</v>
          </cell>
          <cell r="M88">
            <v>2</v>
          </cell>
          <cell r="N88">
            <v>465.24199999999996</v>
          </cell>
        </row>
        <row r="89">
          <cell r="B89">
            <v>36192</v>
          </cell>
          <cell r="D89">
            <v>197.68</v>
          </cell>
          <cell r="E89">
            <v>7.9072000000000005</v>
          </cell>
          <cell r="F89">
            <v>31.628800000000002</v>
          </cell>
          <cell r="G89">
            <v>5</v>
          </cell>
          <cell r="H89">
            <v>0</v>
          </cell>
          <cell r="I89">
            <v>5</v>
          </cell>
          <cell r="J89">
            <v>44.536</v>
          </cell>
          <cell r="K89">
            <v>0.22529340348037233</v>
          </cell>
          <cell r="L89">
            <v>153.144</v>
          </cell>
          <cell r="M89">
            <v>1</v>
          </cell>
          <cell r="N89">
            <v>44.536</v>
          </cell>
        </row>
        <row r="90">
          <cell r="B90">
            <v>36220</v>
          </cell>
          <cell r="D90">
            <v>197.68</v>
          </cell>
          <cell r="E90">
            <v>7.9072000000000005</v>
          </cell>
          <cell r="F90">
            <v>31.628800000000002</v>
          </cell>
          <cell r="G90">
            <v>31</v>
          </cell>
          <cell r="H90">
            <v>0</v>
          </cell>
          <cell r="I90">
            <v>31</v>
          </cell>
          <cell r="J90">
            <v>70.536</v>
          </cell>
          <cell r="K90">
            <v>0.3568191015783084</v>
          </cell>
          <cell r="L90">
            <v>127.144</v>
          </cell>
          <cell r="M90">
            <v>1</v>
          </cell>
          <cell r="N90">
            <v>70.536</v>
          </cell>
        </row>
        <row r="91">
          <cell r="B91">
            <v>36251</v>
          </cell>
          <cell r="D91">
            <v>197.68</v>
          </cell>
          <cell r="E91">
            <v>7.9072000000000005</v>
          </cell>
          <cell r="F91">
            <v>31.628800000000002</v>
          </cell>
          <cell r="G91">
            <v>106</v>
          </cell>
          <cell r="H91">
            <v>0</v>
          </cell>
          <cell r="I91">
            <v>106</v>
          </cell>
          <cell r="J91">
            <v>145.536</v>
          </cell>
          <cell r="K91">
            <v>0.7362201537838932</v>
          </cell>
          <cell r="L91">
            <v>52.144000000000005</v>
          </cell>
          <cell r="M91">
            <v>1</v>
          </cell>
          <cell r="N91">
            <v>145.536</v>
          </cell>
        </row>
        <row r="92">
          <cell r="B92">
            <v>36281</v>
          </cell>
          <cell r="D92">
            <v>197.68</v>
          </cell>
          <cell r="E92">
            <v>7.9072000000000005</v>
          </cell>
          <cell r="F92">
            <v>31.628800000000002</v>
          </cell>
          <cell r="G92">
            <v>4</v>
          </cell>
          <cell r="H92">
            <v>0</v>
          </cell>
          <cell r="I92">
            <v>4</v>
          </cell>
          <cell r="J92">
            <v>43.536</v>
          </cell>
          <cell r="K92">
            <v>0.22023472278429784</v>
          </cell>
          <cell r="L92">
            <v>154.144</v>
          </cell>
          <cell r="M92">
            <v>1</v>
          </cell>
          <cell r="N92">
            <v>43.536</v>
          </cell>
        </row>
        <row r="93">
          <cell r="B93">
            <v>36312</v>
          </cell>
          <cell r="D93">
            <v>197.68</v>
          </cell>
          <cell r="E93">
            <v>7.9072000000000005</v>
          </cell>
          <cell r="F93">
            <v>31.628800000000002</v>
          </cell>
          <cell r="G93">
            <v>111</v>
          </cell>
          <cell r="H93">
            <v>0</v>
          </cell>
          <cell r="I93">
            <v>111</v>
          </cell>
          <cell r="J93">
            <v>150.536</v>
          </cell>
          <cell r="K93">
            <v>0.7615135572642655</v>
          </cell>
          <cell r="L93">
            <v>47.144000000000005</v>
          </cell>
          <cell r="M93">
            <v>1</v>
          </cell>
          <cell r="N93">
            <v>150.536</v>
          </cell>
        </row>
        <row r="94">
          <cell r="B94">
            <v>36342</v>
          </cell>
          <cell r="D94">
            <v>197.68</v>
          </cell>
          <cell r="E94">
            <v>7.9072000000000005</v>
          </cell>
          <cell r="F94">
            <v>31.628800000000002</v>
          </cell>
          <cell r="G94">
            <v>30</v>
          </cell>
          <cell r="H94">
            <v>0</v>
          </cell>
          <cell r="I94">
            <v>30</v>
          </cell>
          <cell r="J94">
            <v>69.536</v>
          </cell>
          <cell r="K94">
            <v>0.3517604208822339</v>
          </cell>
          <cell r="L94">
            <v>128.144</v>
          </cell>
          <cell r="M94">
            <v>1</v>
          </cell>
          <cell r="N94">
            <v>69.536</v>
          </cell>
        </row>
        <row r="95">
          <cell r="B95">
            <v>36373</v>
          </cell>
          <cell r="D95">
            <v>197.68</v>
          </cell>
          <cell r="E95">
            <v>7.9072000000000005</v>
          </cell>
          <cell r="F95">
            <v>31.628800000000002</v>
          </cell>
          <cell r="G95">
            <v>0</v>
          </cell>
          <cell r="H95">
            <v>0</v>
          </cell>
          <cell r="I95">
            <v>0</v>
          </cell>
          <cell r="J95">
            <v>39.536</v>
          </cell>
          <cell r="K95">
            <v>0.2</v>
          </cell>
          <cell r="L95">
            <v>158.144</v>
          </cell>
          <cell r="M95">
            <v>1</v>
          </cell>
          <cell r="N95">
            <v>39.536</v>
          </cell>
        </row>
        <row r="97">
          <cell r="B97" t="str">
            <v>Contract</v>
          </cell>
        </row>
        <row r="98">
          <cell r="B98" t="str">
            <v>2/99 - 8/99</v>
          </cell>
          <cell r="D98">
            <v>1383.7600000000002</v>
          </cell>
          <cell r="E98">
            <v>55.35040000000001</v>
          </cell>
          <cell r="F98">
            <v>221.40160000000003</v>
          </cell>
          <cell r="G98">
            <v>287</v>
          </cell>
          <cell r="H98">
            <v>0</v>
          </cell>
          <cell r="I98">
            <v>287</v>
          </cell>
          <cell r="J98">
            <v>563.752</v>
          </cell>
          <cell r="K98">
            <v>0.4074059085390529</v>
          </cell>
          <cell r="L98">
            <v>820.008</v>
          </cell>
          <cell r="M98">
            <v>7</v>
          </cell>
          <cell r="N98">
            <v>80.53599999999999</v>
          </cell>
        </row>
        <row r="99">
          <cell r="B99" t="str">
            <v>Renewal</v>
          </cell>
        </row>
        <row r="100">
          <cell r="B100" t="str">
            <v>9/98 - 8/99</v>
          </cell>
          <cell r="D100">
            <v>4770.860000000001</v>
          </cell>
          <cell r="E100">
            <v>190.8343999999999</v>
          </cell>
          <cell r="F100">
            <v>763.3375999999996</v>
          </cell>
          <cell r="G100">
            <v>1488</v>
          </cell>
          <cell r="H100">
            <v>0</v>
          </cell>
          <cell r="I100">
            <v>1488</v>
          </cell>
          <cell r="J100">
            <v>2442.172</v>
          </cell>
          <cell r="K100">
            <v>0.5118934531719648</v>
          </cell>
          <cell r="L100">
            <v>2328.688</v>
          </cell>
          <cell r="M100">
            <v>17</v>
          </cell>
          <cell r="N100">
            <v>143.65717647058824</v>
          </cell>
        </row>
        <row r="102">
          <cell r="B102" t="str">
            <v>Mo. Ave</v>
          </cell>
          <cell r="D102">
            <v>397.5716666666667</v>
          </cell>
          <cell r="E102">
            <v>15.90286666666666</v>
          </cell>
          <cell r="F102">
            <v>63.61146666666664</v>
          </cell>
          <cell r="G102">
            <v>124</v>
          </cell>
          <cell r="H102">
            <v>0</v>
          </cell>
          <cell r="I102">
            <v>124</v>
          </cell>
          <cell r="J102">
            <v>203.51433333333333</v>
          </cell>
          <cell r="K102">
            <v>0.5118934531719648</v>
          </cell>
          <cell r="L102">
            <v>194.05733333333333</v>
          </cell>
          <cell r="M102">
            <v>1.4166666666666667</v>
          </cell>
          <cell r="N102">
            <v>143.6571764705882</v>
          </cell>
        </row>
        <row r="104">
          <cell r="A104" t="str">
            <v>PPO 4 Plan Experience #7442</v>
          </cell>
        </row>
        <row r="106">
          <cell r="D106" t="str">
            <v>A</v>
          </cell>
          <cell r="E106" t="str">
            <v>B</v>
          </cell>
          <cell r="F106" t="str">
            <v>C</v>
          </cell>
          <cell r="G106" t="str">
            <v>D</v>
          </cell>
          <cell r="H106" t="str">
            <v>E</v>
          </cell>
          <cell r="I106" t="str">
            <v>F</v>
          </cell>
          <cell r="J106" t="str">
            <v>G</v>
          </cell>
          <cell r="K106" t="str">
            <v>H</v>
          </cell>
          <cell r="L106" t="str">
            <v>I</v>
          </cell>
          <cell r="M106" t="str">
            <v>J</v>
          </cell>
          <cell r="N106" t="str">
            <v>K</v>
          </cell>
        </row>
        <row r="107">
          <cell r="D107" t="str">
            <v>Billed</v>
          </cell>
          <cell r="E107" t="str">
            <v>Pooling</v>
          </cell>
          <cell r="F107" t="str">
            <v>Retention</v>
          </cell>
          <cell r="G107" t="str">
            <v>Gross</v>
          </cell>
          <cell r="H107" t="str">
            <v>Pooled</v>
          </cell>
          <cell r="I107" t="str">
            <v>Net Paid</v>
          </cell>
          <cell r="J107" t="str">
            <v>Total</v>
          </cell>
          <cell r="K107" t="str">
            <v>Expense</v>
          </cell>
          <cell r="L107" t="str">
            <v>Gain/(Loss)</v>
          </cell>
          <cell r="M107" t="str">
            <v>Emp</v>
          </cell>
          <cell r="N107" t="str">
            <v>Cost Per</v>
          </cell>
        </row>
        <row r="108">
          <cell r="D108" t="str">
            <v>Premium</v>
          </cell>
          <cell r="E108" t="str">
            <v>Expense</v>
          </cell>
          <cell r="F108" t="str">
            <v>Charge</v>
          </cell>
          <cell r="G108" t="str">
            <v>Claims</v>
          </cell>
          <cell r="H108" t="str">
            <v>Claims</v>
          </cell>
          <cell r="I108" t="str">
            <v>Claims</v>
          </cell>
          <cell r="J108" t="str">
            <v>Expenses</v>
          </cell>
          <cell r="K108" t="str">
            <v>Loss Ratio</v>
          </cell>
          <cell r="L108" t="str">
            <v>Monthly</v>
          </cell>
          <cell r="M108" t="str">
            <v>Count</v>
          </cell>
          <cell r="N108" t="str">
            <v>Employee</v>
          </cell>
        </row>
        <row r="109">
          <cell r="H109" t="str">
            <v>($75,000)</v>
          </cell>
          <cell r="I109" t="str">
            <v>D-E</v>
          </cell>
          <cell r="J109" t="str">
            <v>B+C+F</v>
          </cell>
          <cell r="K109" t="str">
            <v>G/A</v>
          </cell>
          <cell r="L109" t="str">
            <v>A-G</v>
          </cell>
          <cell r="N109" t="str">
            <v>G/J</v>
          </cell>
        </row>
        <row r="110">
          <cell r="B110" t="str">
            <v>1998/99</v>
          </cell>
        </row>
        <row r="111">
          <cell r="B111" t="str">
            <v>Plan Yr.</v>
          </cell>
          <cell r="D111">
            <v>240772</v>
          </cell>
          <cell r="E111">
            <v>9630.880000000001</v>
          </cell>
          <cell r="F111">
            <v>42135.1</v>
          </cell>
          <cell r="G111">
            <v>230730</v>
          </cell>
          <cell r="H111">
            <v>0</v>
          </cell>
          <cell r="I111">
            <v>230730</v>
          </cell>
          <cell r="J111">
            <v>282495.98</v>
          </cell>
          <cell r="K111">
            <v>1.1732924924825145</v>
          </cell>
          <cell r="L111">
            <v>-41723.97999999998</v>
          </cell>
          <cell r="M111">
            <v>1334</v>
          </cell>
          <cell r="N111">
            <v>211.76610194902548</v>
          </cell>
        </row>
        <row r="112">
          <cell r="B112" t="str">
            <v>1998/99</v>
          </cell>
        </row>
        <row r="113">
          <cell r="B113" t="str">
            <v>Mo. Ave</v>
          </cell>
          <cell r="D113">
            <v>20064.333333333332</v>
          </cell>
          <cell r="E113">
            <v>802.5733333333334</v>
          </cell>
          <cell r="F113">
            <v>3511.258333333333</v>
          </cell>
          <cell r="G113">
            <v>19227.5</v>
          </cell>
          <cell r="H113">
            <v>0</v>
          </cell>
          <cell r="I113">
            <v>19227.5</v>
          </cell>
          <cell r="J113">
            <v>23541.331666666665</v>
          </cell>
          <cell r="K113">
            <v>1.1732924924825145</v>
          </cell>
          <cell r="L113">
            <v>-3476.9983333333316</v>
          </cell>
          <cell r="M113">
            <v>111.16666666666667</v>
          </cell>
          <cell r="N113">
            <v>211.76610194902545</v>
          </cell>
        </row>
        <row r="115">
          <cell r="B115">
            <v>36039</v>
          </cell>
          <cell r="D115">
            <v>21174.5</v>
          </cell>
          <cell r="E115">
            <v>846.98</v>
          </cell>
          <cell r="F115">
            <v>3705.5375</v>
          </cell>
          <cell r="G115">
            <v>26132.5</v>
          </cell>
          <cell r="H115">
            <v>0</v>
          </cell>
          <cell r="I115">
            <v>26132.5</v>
          </cell>
          <cell r="J115">
            <v>30685.0175</v>
          </cell>
          <cell r="K115">
            <v>1.4491495666957899</v>
          </cell>
          <cell r="L115">
            <v>-9510.517500000002</v>
          </cell>
          <cell r="M115">
            <v>116</v>
          </cell>
          <cell r="N115">
            <v>264.5260129310345</v>
          </cell>
        </row>
        <row r="116">
          <cell r="B116">
            <v>36069</v>
          </cell>
          <cell r="D116">
            <v>21995.5</v>
          </cell>
          <cell r="E116">
            <v>879.82</v>
          </cell>
          <cell r="F116">
            <v>3849.2124999999996</v>
          </cell>
          <cell r="G116">
            <v>32491</v>
          </cell>
          <cell r="H116">
            <v>0</v>
          </cell>
          <cell r="I116">
            <v>32491</v>
          </cell>
          <cell r="J116">
            <v>37220.0325</v>
          </cell>
          <cell r="K116">
            <v>1.6921657839103454</v>
          </cell>
          <cell r="L116">
            <v>-15224.532500000001</v>
          </cell>
          <cell r="M116">
            <v>119</v>
          </cell>
          <cell r="N116">
            <v>312.7733823529412</v>
          </cell>
        </row>
        <row r="117">
          <cell r="B117">
            <v>36100</v>
          </cell>
          <cell r="D117">
            <v>19574</v>
          </cell>
          <cell r="E117">
            <v>782.96</v>
          </cell>
          <cell r="F117">
            <v>3425.45</v>
          </cell>
          <cell r="G117">
            <v>43938</v>
          </cell>
          <cell r="H117">
            <v>0</v>
          </cell>
          <cell r="I117">
            <v>43938</v>
          </cell>
          <cell r="J117">
            <v>48146.41</v>
          </cell>
          <cell r="K117">
            <v>2.459712373556759</v>
          </cell>
          <cell r="L117">
            <v>-28572.410000000003</v>
          </cell>
          <cell r="M117">
            <v>110</v>
          </cell>
          <cell r="N117">
            <v>437.6946363636364</v>
          </cell>
        </row>
        <row r="118">
          <cell r="B118">
            <v>36130</v>
          </cell>
          <cell r="D118">
            <v>20280</v>
          </cell>
          <cell r="E118">
            <v>811.2</v>
          </cell>
          <cell r="F118">
            <v>3549</v>
          </cell>
          <cell r="G118">
            <v>11208</v>
          </cell>
          <cell r="H118">
            <v>0</v>
          </cell>
          <cell r="I118">
            <v>11208</v>
          </cell>
          <cell r="J118">
            <v>15568.2</v>
          </cell>
          <cell r="K118">
            <v>0.7676627218934912</v>
          </cell>
          <cell r="L118">
            <v>4711.799999999999</v>
          </cell>
          <cell r="M118">
            <v>113</v>
          </cell>
          <cell r="N118">
            <v>137.7716814159292</v>
          </cell>
        </row>
        <row r="119">
          <cell r="B119">
            <v>36161</v>
          </cell>
          <cell r="D119">
            <v>19830</v>
          </cell>
          <cell r="E119">
            <v>793.2</v>
          </cell>
          <cell r="F119">
            <v>3470.25</v>
          </cell>
          <cell r="G119">
            <v>9589</v>
          </cell>
          <cell r="H119">
            <v>0</v>
          </cell>
          <cell r="I119">
            <v>9589</v>
          </cell>
          <cell r="J119">
            <v>13852.45</v>
          </cell>
          <cell r="K119">
            <v>0.6985602622289461</v>
          </cell>
          <cell r="L119">
            <v>5977.549999999999</v>
          </cell>
          <cell r="M119">
            <v>110</v>
          </cell>
          <cell r="N119">
            <v>125.93136363636364</v>
          </cell>
        </row>
        <row r="120">
          <cell r="B120">
            <v>36192</v>
          </cell>
          <cell r="D120">
            <v>24156</v>
          </cell>
          <cell r="E120">
            <v>966.24</v>
          </cell>
          <cell r="F120">
            <v>4227.3</v>
          </cell>
          <cell r="G120">
            <v>6815</v>
          </cell>
          <cell r="H120">
            <v>0</v>
          </cell>
          <cell r="I120">
            <v>6815</v>
          </cell>
          <cell r="J120">
            <v>12008.54</v>
          </cell>
          <cell r="K120">
            <v>0.49712452392780265</v>
          </cell>
          <cell r="L120">
            <v>12147.46</v>
          </cell>
          <cell r="M120">
            <v>105</v>
          </cell>
          <cell r="N120">
            <v>114.36704761904763</v>
          </cell>
        </row>
        <row r="121">
          <cell r="B121">
            <v>36220</v>
          </cell>
          <cell r="D121">
            <v>19809</v>
          </cell>
          <cell r="E121">
            <v>792.36</v>
          </cell>
          <cell r="F121">
            <v>3466.575</v>
          </cell>
          <cell r="G121">
            <v>5335</v>
          </cell>
          <cell r="H121">
            <v>0</v>
          </cell>
          <cell r="I121">
            <v>5335</v>
          </cell>
          <cell r="J121">
            <v>9593.935</v>
          </cell>
          <cell r="K121">
            <v>0.48432202534201624</v>
          </cell>
          <cell r="L121">
            <v>10215.065</v>
          </cell>
          <cell r="M121">
            <v>87</v>
          </cell>
          <cell r="N121">
            <v>110.27511494252873</v>
          </cell>
        </row>
        <row r="122">
          <cell r="B122">
            <v>36251</v>
          </cell>
          <cell r="D122">
            <v>16866</v>
          </cell>
          <cell r="E122">
            <v>674.64</v>
          </cell>
          <cell r="F122">
            <v>2951.5499999999997</v>
          </cell>
          <cell r="G122">
            <v>8275</v>
          </cell>
          <cell r="H122">
            <v>0</v>
          </cell>
          <cell r="I122">
            <v>8275</v>
          </cell>
          <cell r="J122">
            <v>11901.189999999999</v>
          </cell>
          <cell r="K122">
            <v>0.705632040792126</v>
          </cell>
          <cell r="L122">
            <v>4964.810000000001</v>
          </cell>
          <cell r="M122">
            <v>84</v>
          </cell>
          <cell r="N122">
            <v>141.6808333333333</v>
          </cell>
        </row>
        <row r="123">
          <cell r="B123">
            <v>36281</v>
          </cell>
          <cell r="D123">
            <v>16914</v>
          </cell>
          <cell r="E123">
            <v>676.5600000000001</v>
          </cell>
          <cell r="F123">
            <v>2959.95</v>
          </cell>
          <cell r="G123">
            <v>8169</v>
          </cell>
          <cell r="H123">
            <v>0</v>
          </cell>
          <cell r="I123">
            <v>8169</v>
          </cell>
          <cell r="J123">
            <v>11805.51</v>
          </cell>
          <cell r="K123">
            <v>0.6979726853494147</v>
          </cell>
          <cell r="L123">
            <v>5108.49</v>
          </cell>
          <cell r="M123">
            <v>80</v>
          </cell>
          <cell r="N123">
            <v>147.568875</v>
          </cell>
        </row>
        <row r="124">
          <cell r="B124">
            <v>36312</v>
          </cell>
          <cell r="D124">
            <v>16210</v>
          </cell>
          <cell r="E124">
            <v>648.4</v>
          </cell>
          <cell r="F124">
            <v>2836.75</v>
          </cell>
          <cell r="G124">
            <v>16446</v>
          </cell>
          <cell r="H124">
            <v>0</v>
          </cell>
          <cell r="I124">
            <v>16446</v>
          </cell>
          <cell r="J124">
            <v>19931.15</v>
          </cell>
          <cell r="K124">
            <v>1.2295589142504628</v>
          </cell>
          <cell r="L124">
            <v>-3721.1500000000015</v>
          </cell>
          <cell r="M124">
            <v>79</v>
          </cell>
          <cell r="N124">
            <v>252.29303797468356</v>
          </cell>
        </row>
        <row r="125">
          <cell r="B125">
            <v>36342</v>
          </cell>
          <cell r="D125">
            <v>16694</v>
          </cell>
          <cell r="E125">
            <v>667.76</v>
          </cell>
          <cell r="F125">
            <v>2921.45</v>
          </cell>
          <cell r="G125">
            <v>8296</v>
          </cell>
          <cell r="H125">
            <v>0</v>
          </cell>
          <cell r="I125">
            <v>8296</v>
          </cell>
          <cell r="J125">
            <v>11885.21</v>
          </cell>
          <cell r="K125">
            <v>0.7119450101832994</v>
          </cell>
          <cell r="L125">
            <v>4808.790000000001</v>
          </cell>
          <cell r="M125">
            <v>79</v>
          </cell>
          <cell r="N125">
            <v>150.44569620253162</v>
          </cell>
        </row>
        <row r="126">
          <cell r="B126">
            <v>36373</v>
          </cell>
          <cell r="D126">
            <v>16188</v>
          </cell>
          <cell r="E126">
            <v>647.52</v>
          </cell>
          <cell r="F126">
            <v>2832.8999999999996</v>
          </cell>
          <cell r="G126">
            <v>11538</v>
          </cell>
          <cell r="H126">
            <v>0</v>
          </cell>
          <cell r="I126">
            <v>11538</v>
          </cell>
          <cell r="J126">
            <v>15018.42</v>
          </cell>
          <cell r="K126">
            <v>0.9277501853224611</v>
          </cell>
          <cell r="L126">
            <v>1169.58</v>
          </cell>
          <cell r="M126">
            <v>80</v>
          </cell>
          <cell r="N126">
            <v>187.73025</v>
          </cell>
        </row>
        <row r="128">
          <cell r="B128" t="str">
            <v>Contract</v>
          </cell>
        </row>
        <row r="129">
          <cell r="B129" t="str">
            <v>2/99 - 8/99</v>
          </cell>
          <cell r="D129">
            <v>126837</v>
          </cell>
          <cell r="E129">
            <v>5073.48</v>
          </cell>
          <cell r="F129">
            <v>22196.475</v>
          </cell>
          <cell r="G129">
            <v>64874</v>
          </cell>
          <cell r="H129">
            <v>0</v>
          </cell>
          <cell r="I129">
            <v>64874</v>
          </cell>
          <cell r="J129">
            <v>92143.955</v>
          </cell>
          <cell r="K129">
            <v>0.7264753581368213</v>
          </cell>
          <cell r="L129">
            <v>34693.045000000006</v>
          </cell>
          <cell r="M129">
            <v>594</v>
          </cell>
          <cell r="N129">
            <v>155.12450336700337</v>
          </cell>
        </row>
        <row r="130">
          <cell r="B130" t="str">
            <v>Renewal</v>
          </cell>
        </row>
        <row r="131">
          <cell r="B131" t="str">
            <v>9/98 - 8/99</v>
          </cell>
          <cell r="D131">
            <v>229691</v>
          </cell>
          <cell r="E131">
            <v>9187.64</v>
          </cell>
          <cell r="F131">
            <v>40195.924999999996</v>
          </cell>
          <cell r="G131">
            <v>188232.5</v>
          </cell>
          <cell r="H131">
            <v>0</v>
          </cell>
          <cell r="I131">
            <v>188232.5</v>
          </cell>
          <cell r="J131">
            <v>237616.06500000003</v>
          </cell>
          <cell r="K131">
            <v>1.034503158591325</v>
          </cell>
          <cell r="L131">
            <v>-7925.064999999999</v>
          </cell>
          <cell r="M131">
            <v>1162</v>
          </cell>
          <cell r="N131">
            <v>204.48886833046475</v>
          </cell>
        </row>
        <row r="133">
          <cell r="B133" t="str">
            <v>Mo. Ave</v>
          </cell>
          <cell r="D133">
            <v>19140.916666666668</v>
          </cell>
          <cell r="E133">
            <v>765.6366666666667</v>
          </cell>
          <cell r="F133">
            <v>3349.660416666666</v>
          </cell>
          <cell r="G133">
            <v>15686.041666666666</v>
          </cell>
          <cell r="H133">
            <v>0</v>
          </cell>
          <cell r="I133">
            <v>15686.041666666666</v>
          </cell>
          <cell r="J133">
            <v>19801.338750000003</v>
          </cell>
          <cell r="K133">
            <v>1.034503158591325</v>
          </cell>
          <cell r="L133">
            <v>-660.4220833333333</v>
          </cell>
          <cell r="M133">
            <v>96.83333333333333</v>
          </cell>
          <cell r="N133">
            <v>204.48886833046475</v>
          </cell>
        </row>
        <row r="135">
          <cell r="A135" t="str">
            <v>PPO 5 Plan Experience #4359</v>
          </cell>
        </row>
        <row r="137">
          <cell r="D137" t="str">
            <v>A</v>
          </cell>
          <cell r="E137" t="str">
            <v>B</v>
          </cell>
          <cell r="F137" t="str">
            <v>C</v>
          </cell>
          <cell r="G137" t="str">
            <v>D</v>
          </cell>
          <cell r="H137" t="str">
            <v>E</v>
          </cell>
          <cell r="I137" t="str">
            <v>F</v>
          </cell>
          <cell r="J137" t="str">
            <v>G</v>
          </cell>
          <cell r="K137" t="str">
            <v>H</v>
          </cell>
          <cell r="L137" t="str">
            <v>I</v>
          </cell>
          <cell r="M137" t="str">
            <v>J</v>
          </cell>
          <cell r="N137" t="str">
            <v>K</v>
          </cell>
        </row>
        <row r="138">
          <cell r="D138" t="str">
            <v>Billed</v>
          </cell>
          <cell r="E138" t="str">
            <v>Pooling</v>
          </cell>
          <cell r="F138" t="str">
            <v>Retention</v>
          </cell>
          <cell r="G138" t="str">
            <v>Gross</v>
          </cell>
          <cell r="H138" t="str">
            <v>Pooled</v>
          </cell>
          <cell r="I138" t="str">
            <v>Net Paid</v>
          </cell>
          <cell r="J138" t="str">
            <v>Total</v>
          </cell>
          <cell r="K138" t="str">
            <v>Expense</v>
          </cell>
          <cell r="L138" t="str">
            <v>Gain/(Loss)</v>
          </cell>
          <cell r="M138" t="str">
            <v>Emp</v>
          </cell>
          <cell r="N138" t="str">
            <v>Cost Per</v>
          </cell>
        </row>
        <row r="139">
          <cell r="D139" t="str">
            <v>Premium</v>
          </cell>
          <cell r="E139" t="str">
            <v>Expense</v>
          </cell>
          <cell r="F139" t="str">
            <v>Charge</v>
          </cell>
          <cell r="G139" t="str">
            <v>Claims</v>
          </cell>
          <cell r="H139" t="str">
            <v>Claims</v>
          </cell>
          <cell r="I139" t="str">
            <v>Claims</v>
          </cell>
          <cell r="J139" t="str">
            <v>Expenses</v>
          </cell>
          <cell r="K139" t="str">
            <v>Loss Ratio</v>
          </cell>
          <cell r="L139" t="str">
            <v>Monthly</v>
          </cell>
          <cell r="M139" t="str">
            <v>Count</v>
          </cell>
          <cell r="N139" t="str">
            <v>Employee</v>
          </cell>
        </row>
        <row r="140">
          <cell r="H140" t="str">
            <v>($75,000)</v>
          </cell>
          <cell r="I140" t="str">
            <v>D-E</v>
          </cell>
          <cell r="J140" t="str">
            <v>B+C+F</v>
          </cell>
          <cell r="K140" t="str">
            <v>G/A</v>
          </cell>
          <cell r="L140" t="str">
            <v>A-G</v>
          </cell>
          <cell r="N140" t="str">
            <v>G/J</v>
          </cell>
        </row>
        <row r="141">
          <cell r="B141" t="str">
            <v>1998/99</v>
          </cell>
        </row>
        <row r="142">
          <cell r="B142" t="str">
            <v>Plan Yr.</v>
          </cell>
          <cell r="D142" t="str">
            <v>NA</v>
          </cell>
          <cell r="E142" t="str">
            <v>NA</v>
          </cell>
          <cell r="F142" t="str">
            <v>NA</v>
          </cell>
          <cell r="G142" t="str">
            <v>NA</v>
          </cell>
          <cell r="H142" t="str">
            <v>NA</v>
          </cell>
          <cell r="I142" t="str">
            <v>NA</v>
          </cell>
          <cell r="J142" t="str">
            <v>NA</v>
          </cell>
          <cell r="K142" t="str">
            <v>NA</v>
          </cell>
          <cell r="L142" t="str">
            <v>NA</v>
          </cell>
          <cell r="M142" t="str">
            <v>NA</v>
          </cell>
          <cell r="N142" t="str">
            <v>NA</v>
          </cell>
        </row>
        <row r="143">
          <cell r="B143" t="str">
            <v>1998/99</v>
          </cell>
        </row>
        <row r="144">
          <cell r="B144" t="str">
            <v>Mo. Ave</v>
          </cell>
          <cell r="D144" t="str">
            <v>NA</v>
          </cell>
          <cell r="E144" t="str">
            <v>NA</v>
          </cell>
          <cell r="F144" t="str">
            <v>NA</v>
          </cell>
          <cell r="G144" t="str">
            <v>NA</v>
          </cell>
          <cell r="H144" t="str">
            <v>NA</v>
          </cell>
          <cell r="I144" t="str">
            <v>NA</v>
          </cell>
          <cell r="J144" t="str">
            <v>NA</v>
          </cell>
          <cell r="K144" t="str">
            <v>NA</v>
          </cell>
          <cell r="L144" t="str">
            <v>NA</v>
          </cell>
          <cell r="M144" t="str">
            <v>NA</v>
          </cell>
          <cell r="N144" t="str">
            <v>NA</v>
          </cell>
        </row>
        <row r="146">
          <cell r="B146">
            <v>36039</v>
          </cell>
          <cell r="D146" t="str">
            <v>NA</v>
          </cell>
          <cell r="E146" t="str">
            <v>NA</v>
          </cell>
          <cell r="F146" t="str">
            <v>NA</v>
          </cell>
          <cell r="G146" t="str">
            <v>NA</v>
          </cell>
          <cell r="H146" t="str">
            <v>NA</v>
          </cell>
          <cell r="I146" t="str">
            <v>NA</v>
          </cell>
          <cell r="J146" t="str">
            <v>NA</v>
          </cell>
          <cell r="K146" t="str">
            <v>NA</v>
          </cell>
          <cell r="L146" t="str">
            <v>NA</v>
          </cell>
          <cell r="M146" t="str">
            <v>NA</v>
          </cell>
          <cell r="N146" t="str">
            <v>NA</v>
          </cell>
        </row>
        <row r="147">
          <cell r="B147">
            <v>36069</v>
          </cell>
          <cell r="D147" t="str">
            <v>NA</v>
          </cell>
          <cell r="E147" t="str">
            <v>NA</v>
          </cell>
          <cell r="F147" t="str">
            <v>NA</v>
          </cell>
          <cell r="G147" t="str">
            <v>NA</v>
          </cell>
          <cell r="H147" t="str">
            <v>NA</v>
          </cell>
          <cell r="I147" t="str">
            <v>NA</v>
          </cell>
          <cell r="J147" t="str">
            <v>NA</v>
          </cell>
          <cell r="K147" t="str">
            <v>NA</v>
          </cell>
          <cell r="L147" t="str">
            <v>NA</v>
          </cell>
          <cell r="M147" t="str">
            <v>NA</v>
          </cell>
          <cell r="N147" t="str">
            <v>NA</v>
          </cell>
        </row>
        <row r="148">
          <cell r="B148">
            <v>36100</v>
          </cell>
          <cell r="D148" t="str">
            <v>NA</v>
          </cell>
          <cell r="E148" t="str">
            <v>NA</v>
          </cell>
          <cell r="F148" t="str">
            <v>NA</v>
          </cell>
          <cell r="G148" t="str">
            <v>NA</v>
          </cell>
          <cell r="H148" t="str">
            <v>NA</v>
          </cell>
          <cell r="I148" t="str">
            <v>NA</v>
          </cell>
          <cell r="J148" t="str">
            <v>NA</v>
          </cell>
          <cell r="K148" t="str">
            <v>NA</v>
          </cell>
          <cell r="L148" t="str">
            <v>NA</v>
          </cell>
          <cell r="M148" t="str">
            <v>NA</v>
          </cell>
          <cell r="N148" t="str">
            <v>NA</v>
          </cell>
        </row>
        <row r="149">
          <cell r="B149">
            <v>36130</v>
          </cell>
          <cell r="D149" t="str">
            <v>NA</v>
          </cell>
          <cell r="E149" t="str">
            <v>NA</v>
          </cell>
          <cell r="F149" t="str">
            <v>NA</v>
          </cell>
          <cell r="G149" t="str">
            <v>NA</v>
          </cell>
          <cell r="H149" t="str">
            <v>NA</v>
          </cell>
          <cell r="I149" t="str">
            <v>NA</v>
          </cell>
          <cell r="J149" t="str">
            <v>NA</v>
          </cell>
          <cell r="K149" t="str">
            <v>NA</v>
          </cell>
          <cell r="L149" t="str">
            <v>NA</v>
          </cell>
          <cell r="M149" t="str">
            <v>NA</v>
          </cell>
          <cell r="N149" t="str">
            <v>NA</v>
          </cell>
        </row>
        <row r="150">
          <cell r="B150">
            <v>36161</v>
          </cell>
          <cell r="D150" t="str">
            <v>NA</v>
          </cell>
          <cell r="E150" t="str">
            <v>NA</v>
          </cell>
          <cell r="F150" t="str">
            <v>NA</v>
          </cell>
          <cell r="G150" t="str">
            <v>NA</v>
          </cell>
          <cell r="H150" t="str">
            <v>NA</v>
          </cell>
          <cell r="I150" t="str">
            <v>NA</v>
          </cell>
          <cell r="J150" t="str">
            <v>NA</v>
          </cell>
          <cell r="K150" t="str">
            <v>NA</v>
          </cell>
          <cell r="L150" t="str">
            <v>NA</v>
          </cell>
          <cell r="M150" t="str">
            <v>NA</v>
          </cell>
          <cell r="N150" t="str">
            <v>NA</v>
          </cell>
        </row>
        <row r="151">
          <cell r="B151">
            <v>36192</v>
          </cell>
          <cell r="D151">
            <v>19738</v>
          </cell>
          <cell r="E151">
            <v>789.52</v>
          </cell>
          <cell r="F151">
            <v>3454.1499999999996</v>
          </cell>
          <cell r="G151">
            <v>878</v>
          </cell>
          <cell r="H151">
            <v>0</v>
          </cell>
          <cell r="I151">
            <v>878</v>
          </cell>
          <cell r="J151">
            <v>5121.67</v>
          </cell>
          <cell r="K151">
            <v>0.25948272368021075</v>
          </cell>
          <cell r="L151">
            <v>14616.33</v>
          </cell>
          <cell r="M151">
            <v>87</v>
          </cell>
          <cell r="N151">
            <v>58.86977011494253</v>
          </cell>
        </row>
        <row r="152">
          <cell r="B152">
            <v>36220</v>
          </cell>
          <cell r="D152">
            <v>24118</v>
          </cell>
          <cell r="E152">
            <v>964.72</v>
          </cell>
          <cell r="F152">
            <v>4220.65</v>
          </cell>
          <cell r="G152">
            <v>11588</v>
          </cell>
          <cell r="H152">
            <v>0</v>
          </cell>
          <cell r="I152">
            <v>11588</v>
          </cell>
          <cell r="J152">
            <v>16773.37</v>
          </cell>
          <cell r="K152">
            <v>0.6954710174973049</v>
          </cell>
          <cell r="L152">
            <v>7344.630000000001</v>
          </cell>
          <cell r="M152">
            <v>108</v>
          </cell>
          <cell r="N152">
            <v>155.30898148148148</v>
          </cell>
        </row>
        <row r="153">
          <cell r="B153">
            <v>36251</v>
          </cell>
          <cell r="D153">
            <v>22233</v>
          </cell>
          <cell r="E153">
            <v>889.32</v>
          </cell>
          <cell r="F153">
            <v>3890.7749999999996</v>
          </cell>
          <cell r="G153">
            <v>8516</v>
          </cell>
          <cell r="H153">
            <v>0</v>
          </cell>
          <cell r="I153">
            <v>8516</v>
          </cell>
          <cell r="J153">
            <v>13296.095</v>
          </cell>
          <cell r="K153">
            <v>0.5980342283992264</v>
          </cell>
          <cell r="L153">
            <v>8936.905</v>
          </cell>
          <cell r="M153">
            <v>106</v>
          </cell>
          <cell r="N153">
            <v>125.43485849056603</v>
          </cell>
        </row>
        <row r="154">
          <cell r="B154">
            <v>36281</v>
          </cell>
          <cell r="D154">
            <v>22263</v>
          </cell>
          <cell r="E154">
            <v>890.52</v>
          </cell>
          <cell r="F154">
            <v>3896.0249999999996</v>
          </cell>
          <cell r="G154">
            <v>11667</v>
          </cell>
          <cell r="H154">
            <v>0</v>
          </cell>
          <cell r="I154">
            <v>11667</v>
          </cell>
          <cell r="J154">
            <v>16453.545</v>
          </cell>
          <cell r="K154">
            <v>0.739053362080582</v>
          </cell>
          <cell r="L154">
            <v>5809.455000000002</v>
          </cell>
          <cell r="M154">
            <v>102</v>
          </cell>
          <cell r="N154">
            <v>161.30926470588233</v>
          </cell>
        </row>
        <row r="155">
          <cell r="B155">
            <v>36312</v>
          </cell>
          <cell r="D155">
            <v>23474</v>
          </cell>
          <cell r="E155">
            <v>938.96</v>
          </cell>
          <cell r="F155">
            <v>4107.95</v>
          </cell>
          <cell r="G155">
            <v>11833</v>
          </cell>
          <cell r="H155">
            <v>0</v>
          </cell>
          <cell r="I155">
            <v>11833</v>
          </cell>
          <cell r="J155">
            <v>16879.91</v>
          </cell>
          <cell r="K155">
            <v>0.7190896310811962</v>
          </cell>
          <cell r="L155">
            <v>6594.09</v>
          </cell>
          <cell r="M155">
            <v>103</v>
          </cell>
          <cell r="N155">
            <v>163.8826213592233</v>
          </cell>
        </row>
        <row r="156">
          <cell r="B156">
            <v>36342</v>
          </cell>
          <cell r="D156">
            <v>23246</v>
          </cell>
          <cell r="E156">
            <v>929.84</v>
          </cell>
          <cell r="F156">
            <v>4068.0499999999997</v>
          </cell>
          <cell r="G156">
            <v>14639</v>
          </cell>
          <cell r="H156">
            <v>0</v>
          </cell>
          <cell r="I156">
            <v>14639</v>
          </cell>
          <cell r="J156">
            <v>19636.89</v>
          </cell>
          <cell r="K156">
            <v>0.8447427514411081</v>
          </cell>
          <cell r="L156">
            <v>3609.1100000000006</v>
          </cell>
          <cell r="M156">
            <v>103</v>
          </cell>
          <cell r="N156">
            <v>190.64941747572814</v>
          </cell>
        </row>
        <row r="157">
          <cell r="B157">
            <v>36373</v>
          </cell>
          <cell r="D157">
            <v>23075</v>
          </cell>
          <cell r="E157">
            <v>923</v>
          </cell>
          <cell r="F157">
            <v>4038.1249999999995</v>
          </cell>
          <cell r="G157">
            <v>9919</v>
          </cell>
          <cell r="H157">
            <v>0</v>
          </cell>
          <cell r="I157">
            <v>9919</v>
          </cell>
          <cell r="J157">
            <v>14880.125</v>
          </cell>
          <cell r="K157">
            <v>0.6448591549295775</v>
          </cell>
          <cell r="L157">
            <v>8194.875</v>
          </cell>
          <cell r="M157">
            <v>103</v>
          </cell>
          <cell r="N157">
            <v>144.46723300970874</v>
          </cell>
        </row>
        <row r="159">
          <cell r="B159" t="str">
            <v>Contract</v>
          </cell>
        </row>
        <row r="160">
          <cell r="B160" t="str">
            <v>2/99 - 8/99</v>
          </cell>
          <cell r="D160">
            <v>158147</v>
          </cell>
          <cell r="E160">
            <v>6325.88</v>
          </cell>
          <cell r="F160">
            <v>27675.725</v>
          </cell>
          <cell r="G160">
            <v>69040</v>
          </cell>
          <cell r="H160">
            <v>0</v>
          </cell>
          <cell r="I160">
            <v>69040</v>
          </cell>
          <cell r="J160">
            <v>103041.605</v>
          </cell>
          <cell r="K160">
            <v>0.6515558625835457</v>
          </cell>
          <cell r="L160">
            <v>55105.395000000004</v>
          </cell>
          <cell r="M160">
            <v>712</v>
          </cell>
          <cell r="N160">
            <v>144.72135533707865</v>
          </cell>
        </row>
        <row r="161">
          <cell r="B161" t="str">
            <v>Renewal</v>
          </cell>
        </row>
        <row r="162">
          <cell r="B162" t="str">
            <v>9/98 - 8/99</v>
          </cell>
          <cell r="D162">
            <v>158147</v>
          </cell>
          <cell r="E162">
            <v>6325.88</v>
          </cell>
          <cell r="F162">
            <v>27675.725</v>
          </cell>
          <cell r="G162">
            <v>69040</v>
          </cell>
          <cell r="H162">
            <v>0</v>
          </cell>
          <cell r="I162">
            <v>69040</v>
          </cell>
          <cell r="J162">
            <v>103041.605</v>
          </cell>
          <cell r="K162">
            <v>0.6515558625835457</v>
          </cell>
          <cell r="L162">
            <v>55105.395000000004</v>
          </cell>
          <cell r="M162">
            <v>712</v>
          </cell>
          <cell r="N162">
            <v>144.72135533707865</v>
          </cell>
        </row>
        <row r="164">
          <cell r="B164" t="str">
            <v>Mo. Ave</v>
          </cell>
          <cell r="D164">
            <v>22592.428571428572</v>
          </cell>
          <cell r="E164">
            <v>903.6971428571429</v>
          </cell>
          <cell r="F164">
            <v>3953.6749999999997</v>
          </cell>
          <cell r="G164">
            <v>9862.857142857143</v>
          </cell>
          <cell r="H164">
            <v>0</v>
          </cell>
          <cell r="I164">
            <v>9862.857142857143</v>
          </cell>
          <cell r="J164">
            <v>14720.229285714286</v>
          </cell>
          <cell r="K164">
            <v>0.6515558625835457</v>
          </cell>
          <cell r="L164">
            <v>7872.199285714286</v>
          </cell>
          <cell r="M164">
            <v>101.71428571428571</v>
          </cell>
          <cell r="N164">
            <v>144.72135533707865</v>
          </cell>
        </row>
        <row r="166">
          <cell r="B166" t="str">
            <v>PPO 5 Plan added 2-1-99.</v>
          </cell>
        </row>
        <row r="169">
          <cell r="A169" t="str">
            <v>Rate Stabilization Reserve (RSR)</v>
          </cell>
        </row>
        <row r="173">
          <cell r="D173" t="str">
            <v>RSR as of February 1, 1994:</v>
          </cell>
          <cell r="L173">
            <v>-378625</v>
          </cell>
        </row>
        <row r="174">
          <cell r="D174" t="str">
            <v>   2/1/94 to 1/31/95 Contract Year Gain or (Loss):</v>
          </cell>
          <cell r="L174">
            <v>30791</v>
          </cell>
        </row>
        <row r="176">
          <cell r="D176" t="str">
            <v>RSR as of February 1, 1995:</v>
          </cell>
          <cell r="L176">
            <v>-347834</v>
          </cell>
        </row>
        <row r="177">
          <cell r="D177" t="str">
            <v>   2/1/95 to 1/31/96 Contract Year Gain or (Loss):</v>
          </cell>
          <cell r="L177">
            <v>92407</v>
          </cell>
        </row>
        <row r="179">
          <cell r="D179" t="str">
            <v>RSR as of February 1, 1996:</v>
          </cell>
          <cell r="L179">
            <v>-255427</v>
          </cell>
        </row>
        <row r="180">
          <cell r="D180" t="str">
            <v>   2/1/96 to 1/31/97 Contract Year Gain or (Loss):</v>
          </cell>
          <cell r="L180">
            <v>133736</v>
          </cell>
        </row>
        <row r="182">
          <cell r="D182" t="str">
            <v>RSR as of February 1, 1997:</v>
          </cell>
          <cell r="L182">
            <v>-121691</v>
          </cell>
        </row>
        <row r="183">
          <cell r="D183" t="str">
            <v>   2/1/97 to 1/31/98 Contract Year Gain or (Loss):</v>
          </cell>
          <cell r="L183">
            <v>11449</v>
          </cell>
        </row>
        <row r="185">
          <cell r="D185" t="str">
            <v>RSR as of February 1, 1998:</v>
          </cell>
          <cell r="L185">
            <v>-110242</v>
          </cell>
        </row>
        <row r="186">
          <cell r="D186" t="str">
            <v>   2/1/98 to 1/31/99 Contract Year Gain or (Loss):</v>
          </cell>
          <cell r="L186">
            <v>-43691</v>
          </cell>
        </row>
        <row r="188">
          <cell r="D188" t="str">
            <v>RSR as of February 1, 1999:</v>
          </cell>
          <cell r="L188">
            <v>-153933</v>
          </cell>
        </row>
        <row r="190">
          <cell r="D190" t="str">
            <v>Current Contract Year Gain or (Loss):</v>
          </cell>
          <cell r="L190">
            <v>90618.44799999999</v>
          </cell>
        </row>
        <row r="193">
          <cell r="D193" t="str">
            <v>Gain or (Loss) to Date:</v>
          </cell>
          <cell r="L193">
            <v>-63314.55200000001</v>
          </cell>
          <cell r="M193" t="str">
            <v>*</v>
          </cell>
        </row>
        <row r="195">
          <cell r="D195" t="str">
            <v>* Subject to Year End Accounting</v>
          </cell>
        </row>
        <row r="197">
          <cell r="D197" t="str">
            <v>Minimum amount required held in RSR (10% of current annual premium)</v>
          </cell>
          <cell r="L197">
            <v>51005</v>
          </cell>
        </row>
        <row r="198">
          <cell r="D198" t="str">
            <v>Amount available for contract holders use</v>
          </cell>
          <cell r="L198">
            <v>0</v>
          </cell>
        </row>
      </sheetData>
      <sheetData sheetId="6">
        <row r="2">
          <cell r="A2" t="str">
            <v>Medical Plan Experience by plan type</v>
          </cell>
        </row>
        <row r="4">
          <cell r="B4" t="str">
            <v>Traditional Plan #1806</v>
          </cell>
          <cell r="E4" t="str">
            <v>PPO Plan #7442</v>
          </cell>
          <cell r="H4" t="str">
            <v>Combined Plans</v>
          </cell>
        </row>
        <row r="5">
          <cell r="B5" t="str">
            <v>Paid</v>
          </cell>
          <cell r="C5" t="str">
            <v>Net Paid</v>
          </cell>
          <cell r="D5" t="str">
            <v>Employee</v>
          </cell>
          <cell r="E5" t="str">
            <v>Paid</v>
          </cell>
          <cell r="F5" t="str">
            <v>Net Paid</v>
          </cell>
          <cell r="G5" t="str">
            <v>Employee</v>
          </cell>
          <cell r="H5" t="str">
            <v>Paid</v>
          </cell>
          <cell r="I5" t="str">
            <v>Net Paid</v>
          </cell>
          <cell r="J5" t="str">
            <v>Employee</v>
          </cell>
        </row>
        <row r="6">
          <cell r="B6" t="str">
            <v>Premium</v>
          </cell>
          <cell r="C6" t="str">
            <v>Claims</v>
          </cell>
          <cell r="D6" t="str">
            <v>Count</v>
          </cell>
          <cell r="E6" t="str">
            <v>Premium</v>
          </cell>
          <cell r="F6" t="str">
            <v>Claims</v>
          </cell>
          <cell r="G6" t="str">
            <v>Count</v>
          </cell>
          <cell r="H6" t="str">
            <v>Premium</v>
          </cell>
          <cell r="I6" t="str">
            <v>Claims</v>
          </cell>
          <cell r="J6" t="str">
            <v>Count</v>
          </cell>
        </row>
        <row r="7">
          <cell r="A7">
            <v>35096</v>
          </cell>
          <cell r="B7">
            <v>676</v>
          </cell>
          <cell r="C7">
            <v>0</v>
          </cell>
          <cell r="D7">
            <v>2</v>
          </cell>
          <cell r="E7">
            <v>40919</v>
          </cell>
          <cell r="F7">
            <v>19090</v>
          </cell>
          <cell r="G7">
            <v>215</v>
          </cell>
          <cell r="H7">
            <v>41595</v>
          </cell>
          <cell r="I7">
            <v>19090</v>
          </cell>
          <cell r="J7">
            <v>217</v>
          </cell>
        </row>
        <row r="8">
          <cell r="A8">
            <v>35125</v>
          </cell>
          <cell r="B8">
            <v>676</v>
          </cell>
          <cell r="C8">
            <v>0</v>
          </cell>
          <cell r="D8">
            <v>2</v>
          </cell>
          <cell r="E8">
            <v>39861</v>
          </cell>
          <cell r="F8">
            <v>16718</v>
          </cell>
          <cell r="G8">
            <v>206</v>
          </cell>
          <cell r="H8">
            <v>40537</v>
          </cell>
          <cell r="I8">
            <v>16718</v>
          </cell>
          <cell r="J8">
            <v>208</v>
          </cell>
        </row>
        <row r="9">
          <cell r="A9">
            <v>35156</v>
          </cell>
          <cell r="B9">
            <v>676</v>
          </cell>
          <cell r="C9">
            <v>0</v>
          </cell>
          <cell r="D9">
            <v>2</v>
          </cell>
          <cell r="E9">
            <v>39315</v>
          </cell>
          <cell r="F9">
            <v>11658</v>
          </cell>
          <cell r="G9">
            <v>203</v>
          </cell>
          <cell r="H9">
            <v>39991</v>
          </cell>
          <cell r="I9">
            <v>11658</v>
          </cell>
          <cell r="J9">
            <v>205</v>
          </cell>
        </row>
        <row r="10">
          <cell r="A10">
            <v>35186</v>
          </cell>
          <cell r="B10">
            <v>676</v>
          </cell>
          <cell r="C10">
            <v>14</v>
          </cell>
          <cell r="D10">
            <v>2</v>
          </cell>
          <cell r="E10">
            <v>38925</v>
          </cell>
          <cell r="F10">
            <v>19774</v>
          </cell>
          <cell r="G10">
            <v>204</v>
          </cell>
          <cell r="H10">
            <v>39601</v>
          </cell>
          <cell r="I10">
            <v>19788</v>
          </cell>
          <cell r="J10">
            <v>206</v>
          </cell>
        </row>
        <row r="11">
          <cell r="A11">
            <v>35217</v>
          </cell>
          <cell r="B11">
            <v>676</v>
          </cell>
          <cell r="C11">
            <v>1526</v>
          </cell>
          <cell r="D11">
            <v>2</v>
          </cell>
          <cell r="E11">
            <v>41020</v>
          </cell>
          <cell r="F11">
            <v>36854</v>
          </cell>
          <cell r="G11">
            <v>212</v>
          </cell>
          <cell r="H11">
            <v>41696</v>
          </cell>
          <cell r="I11">
            <v>38380</v>
          </cell>
          <cell r="J11">
            <v>214</v>
          </cell>
        </row>
        <row r="12">
          <cell r="A12">
            <v>35247</v>
          </cell>
          <cell r="B12">
            <v>676</v>
          </cell>
          <cell r="C12">
            <v>36</v>
          </cell>
          <cell r="D12">
            <v>2</v>
          </cell>
          <cell r="E12">
            <v>40460</v>
          </cell>
          <cell r="F12">
            <v>16536</v>
          </cell>
          <cell r="G12">
            <v>211</v>
          </cell>
          <cell r="H12">
            <v>41136</v>
          </cell>
          <cell r="I12">
            <v>16572</v>
          </cell>
          <cell r="J12">
            <v>213</v>
          </cell>
        </row>
        <row r="13">
          <cell r="A13">
            <v>35278</v>
          </cell>
          <cell r="B13">
            <v>676</v>
          </cell>
          <cell r="C13">
            <v>0</v>
          </cell>
          <cell r="D13">
            <v>2</v>
          </cell>
          <cell r="E13">
            <v>40079</v>
          </cell>
          <cell r="F13">
            <v>18125</v>
          </cell>
          <cell r="G13">
            <v>209</v>
          </cell>
          <cell r="H13">
            <v>40755</v>
          </cell>
          <cell r="I13">
            <v>18125</v>
          </cell>
          <cell r="J13">
            <v>211</v>
          </cell>
        </row>
        <row r="14">
          <cell r="A14">
            <v>35309</v>
          </cell>
          <cell r="B14">
            <v>676</v>
          </cell>
          <cell r="C14">
            <v>73</v>
          </cell>
          <cell r="D14">
            <v>2</v>
          </cell>
          <cell r="E14">
            <v>40078</v>
          </cell>
          <cell r="F14">
            <v>14854</v>
          </cell>
          <cell r="G14">
            <v>212</v>
          </cell>
          <cell r="H14">
            <v>40754</v>
          </cell>
          <cell r="I14">
            <v>14927</v>
          </cell>
          <cell r="J14">
            <v>214</v>
          </cell>
        </row>
        <row r="15">
          <cell r="A15">
            <v>35339</v>
          </cell>
          <cell r="B15">
            <v>676</v>
          </cell>
          <cell r="C15">
            <v>613</v>
          </cell>
          <cell r="D15">
            <v>2</v>
          </cell>
          <cell r="E15">
            <v>38849</v>
          </cell>
          <cell r="F15">
            <v>20279</v>
          </cell>
          <cell r="G15">
            <v>210</v>
          </cell>
          <cell r="H15">
            <v>39525</v>
          </cell>
          <cell r="I15">
            <v>20892</v>
          </cell>
          <cell r="J15">
            <v>212</v>
          </cell>
        </row>
        <row r="16">
          <cell r="A16">
            <v>35370</v>
          </cell>
          <cell r="B16">
            <v>676</v>
          </cell>
          <cell r="C16">
            <v>156</v>
          </cell>
          <cell r="D16">
            <v>2</v>
          </cell>
          <cell r="E16">
            <v>39276</v>
          </cell>
          <cell r="F16">
            <v>17497</v>
          </cell>
          <cell r="G16">
            <v>214</v>
          </cell>
          <cell r="H16">
            <v>39952</v>
          </cell>
          <cell r="I16">
            <v>17653</v>
          </cell>
          <cell r="J16">
            <v>216</v>
          </cell>
        </row>
        <row r="17">
          <cell r="A17">
            <v>35400</v>
          </cell>
          <cell r="B17">
            <v>676</v>
          </cell>
          <cell r="C17">
            <v>842</v>
          </cell>
          <cell r="D17">
            <v>2</v>
          </cell>
          <cell r="E17">
            <v>40694</v>
          </cell>
          <cell r="F17">
            <v>21628</v>
          </cell>
          <cell r="G17">
            <v>215</v>
          </cell>
          <cell r="H17">
            <v>41370</v>
          </cell>
          <cell r="I17">
            <v>22470</v>
          </cell>
          <cell r="J17">
            <v>217</v>
          </cell>
        </row>
        <row r="18">
          <cell r="A18">
            <v>35431</v>
          </cell>
          <cell r="B18">
            <v>676</v>
          </cell>
          <cell r="C18">
            <v>297</v>
          </cell>
          <cell r="D18">
            <v>2</v>
          </cell>
          <cell r="E18">
            <v>40327</v>
          </cell>
          <cell r="F18">
            <v>32830</v>
          </cell>
          <cell r="G18">
            <v>215</v>
          </cell>
          <cell r="H18">
            <v>41003</v>
          </cell>
          <cell r="I18">
            <v>33127</v>
          </cell>
          <cell r="J18">
            <v>217</v>
          </cell>
        </row>
        <row r="20">
          <cell r="A20" t="str">
            <v>Total</v>
          </cell>
          <cell r="B20">
            <v>8112</v>
          </cell>
          <cell r="C20">
            <v>3557</v>
          </cell>
          <cell r="D20">
            <v>24</v>
          </cell>
          <cell r="E20">
            <v>479803</v>
          </cell>
          <cell r="F20">
            <v>245843</v>
          </cell>
          <cell r="G20">
            <v>2526</v>
          </cell>
          <cell r="H20">
            <v>487915</v>
          </cell>
          <cell r="I20">
            <v>249400</v>
          </cell>
          <cell r="J20">
            <v>2550</v>
          </cell>
        </row>
        <row r="22">
          <cell r="A22" t="str">
            <v>Individual Pooling Level = $75,000:  0 claims over pooling level.</v>
          </cell>
        </row>
        <row r="24">
          <cell r="A24" t="str">
            <v>Carrier:</v>
          </cell>
          <cell r="B24" t="str">
            <v>MSC</v>
          </cell>
        </row>
        <row r="25">
          <cell r="C25" t="str">
            <v>Traditional</v>
          </cell>
          <cell r="F25" t="str">
            <v>PPO</v>
          </cell>
        </row>
        <row r="26">
          <cell r="A26" t="str">
            <v>Rates:</v>
          </cell>
        </row>
        <row r="27">
          <cell r="A27" t="str">
            <v>Employee</v>
          </cell>
          <cell r="C27">
            <v>231.8</v>
          </cell>
          <cell r="F27">
            <v>122.32</v>
          </cell>
        </row>
        <row r="28">
          <cell r="A28" t="str">
            <v>Emp Spouse</v>
          </cell>
          <cell r="C28">
            <v>520.6</v>
          </cell>
          <cell r="F28">
            <v>258.66</v>
          </cell>
        </row>
        <row r="29">
          <cell r="A29" t="str">
            <v>Emp Child</v>
          </cell>
          <cell r="C29">
            <v>371.1</v>
          </cell>
          <cell r="F29">
            <v>195.96</v>
          </cell>
        </row>
        <row r="30">
          <cell r="A30" t="str">
            <v>Emp Children</v>
          </cell>
          <cell r="C30">
            <v>452.58</v>
          </cell>
          <cell r="F30">
            <v>239.14</v>
          </cell>
        </row>
        <row r="31">
          <cell r="A31" t="str">
            <v>Emp Sp Child</v>
          </cell>
          <cell r="C31">
            <v>659.9</v>
          </cell>
          <cell r="F31">
            <v>332.3</v>
          </cell>
        </row>
        <row r="32">
          <cell r="A32" t="str">
            <v>Emp Sp Children</v>
          </cell>
          <cell r="C32">
            <v>741.38</v>
          </cell>
          <cell r="F32">
            <v>375.48</v>
          </cell>
        </row>
        <row r="34">
          <cell r="A34" t="str">
            <v>Medical Plan Experience by plan type</v>
          </cell>
        </row>
        <row r="36">
          <cell r="B36" t="str">
            <v>Traditional Plan #1806</v>
          </cell>
          <cell r="E36" t="str">
            <v>PPO Plan #7442</v>
          </cell>
          <cell r="H36" t="str">
            <v>Combined Plans</v>
          </cell>
          <cell r="K36" t="str">
            <v>PrimeCare #2542</v>
          </cell>
        </row>
        <row r="37">
          <cell r="B37" t="str">
            <v>Paid</v>
          </cell>
          <cell r="C37" t="str">
            <v>Net Paid</v>
          </cell>
          <cell r="D37" t="str">
            <v>Employee</v>
          </cell>
          <cell r="E37" t="str">
            <v>Paid</v>
          </cell>
          <cell r="F37" t="str">
            <v>Net Paid</v>
          </cell>
          <cell r="G37" t="str">
            <v>Employee</v>
          </cell>
          <cell r="H37" t="str">
            <v>Paid</v>
          </cell>
          <cell r="I37" t="str">
            <v>Net Paid</v>
          </cell>
          <cell r="J37" t="str">
            <v>Employee</v>
          </cell>
          <cell r="K37" t="str">
            <v>HMO Plan</v>
          </cell>
        </row>
        <row r="38">
          <cell r="B38" t="str">
            <v>Premium</v>
          </cell>
          <cell r="C38" t="str">
            <v>Claims</v>
          </cell>
          <cell r="D38" t="str">
            <v>Count</v>
          </cell>
          <cell r="E38" t="str">
            <v>Premium</v>
          </cell>
          <cell r="F38" t="str">
            <v>Claims</v>
          </cell>
          <cell r="G38" t="str">
            <v>Count</v>
          </cell>
          <cell r="H38" t="str">
            <v>Premium</v>
          </cell>
          <cell r="I38" t="str">
            <v>Claims</v>
          </cell>
          <cell r="J38" t="str">
            <v>Count</v>
          </cell>
          <cell r="K38" t="str">
            <v>Emp Count</v>
          </cell>
        </row>
        <row r="39">
          <cell r="A39">
            <v>35462</v>
          </cell>
          <cell r="B39">
            <v>1558</v>
          </cell>
          <cell r="C39">
            <v>216</v>
          </cell>
          <cell r="D39">
            <v>2</v>
          </cell>
          <cell r="E39">
            <v>37480</v>
          </cell>
          <cell r="F39">
            <v>19016</v>
          </cell>
          <cell r="G39">
            <v>210</v>
          </cell>
          <cell r="H39">
            <v>39038</v>
          </cell>
          <cell r="I39">
            <v>19232</v>
          </cell>
          <cell r="J39">
            <v>212</v>
          </cell>
          <cell r="K39">
            <v>0</v>
          </cell>
        </row>
        <row r="40">
          <cell r="A40">
            <v>35490</v>
          </cell>
          <cell r="B40">
            <v>862</v>
          </cell>
          <cell r="C40">
            <v>159</v>
          </cell>
          <cell r="D40">
            <v>2</v>
          </cell>
          <cell r="E40">
            <v>22620</v>
          </cell>
          <cell r="F40">
            <v>8693</v>
          </cell>
          <cell r="G40">
            <v>127</v>
          </cell>
          <cell r="H40">
            <v>23482</v>
          </cell>
          <cell r="I40">
            <v>8852</v>
          </cell>
          <cell r="J40">
            <v>129</v>
          </cell>
          <cell r="K40">
            <v>86</v>
          </cell>
        </row>
        <row r="41">
          <cell r="A41">
            <v>35521</v>
          </cell>
          <cell r="B41">
            <v>422</v>
          </cell>
          <cell r="C41">
            <v>2140</v>
          </cell>
          <cell r="D41">
            <v>2</v>
          </cell>
          <cell r="E41">
            <v>22043</v>
          </cell>
          <cell r="F41">
            <v>35172</v>
          </cell>
          <cell r="G41">
            <v>125</v>
          </cell>
          <cell r="H41">
            <v>22465</v>
          </cell>
          <cell r="I41">
            <v>37312</v>
          </cell>
          <cell r="J41">
            <v>127</v>
          </cell>
          <cell r="K41">
            <v>86</v>
          </cell>
        </row>
        <row r="42">
          <cell r="A42">
            <v>35551</v>
          </cell>
          <cell r="B42">
            <v>748</v>
          </cell>
          <cell r="C42">
            <v>656</v>
          </cell>
          <cell r="D42">
            <v>2</v>
          </cell>
          <cell r="E42">
            <v>22568</v>
          </cell>
          <cell r="F42">
            <v>22866</v>
          </cell>
          <cell r="G42">
            <v>126</v>
          </cell>
          <cell r="H42">
            <v>23316</v>
          </cell>
          <cell r="I42">
            <v>23522</v>
          </cell>
          <cell r="J42">
            <v>128</v>
          </cell>
          <cell r="K42">
            <v>88</v>
          </cell>
        </row>
        <row r="43">
          <cell r="A43">
            <v>35582</v>
          </cell>
          <cell r="B43">
            <v>677</v>
          </cell>
          <cell r="C43">
            <v>61</v>
          </cell>
          <cell r="D43">
            <v>2</v>
          </cell>
          <cell r="E43">
            <v>21997</v>
          </cell>
          <cell r="F43">
            <v>11145</v>
          </cell>
          <cell r="G43">
            <v>124</v>
          </cell>
          <cell r="H43">
            <v>22674</v>
          </cell>
          <cell r="I43">
            <v>11206</v>
          </cell>
          <cell r="J43">
            <v>126</v>
          </cell>
          <cell r="K43">
            <v>93</v>
          </cell>
        </row>
        <row r="44">
          <cell r="A44">
            <v>35612</v>
          </cell>
          <cell r="B44">
            <v>677</v>
          </cell>
          <cell r="C44">
            <v>0</v>
          </cell>
          <cell r="D44">
            <v>2</v>
          </cell>
          <cell r="E44">
            <v>22246</v>
          </cell>
          <cell r="F44">
            <v>16199</v>
          </cell>
          <cell r="G44">
            <v>121</v>
          </cell>
          <cell r="H44">
            <v>22923</v>
          </cell>
          <cell r="I44">
            <v>16199</v>
          </cell>
          <cell r="J44">
            <v>123</v>
          </cell>
          <cell r="K44">
            <v>100</v>
          </cell>
        </row>
        <row r="45">
          <cell r="A45">
            <v>35643</v>
          </cell>
          <cell r="B45">
            <v>677</v>
          </cell>
          <cell r="C45">
            <v>42</v>
          </cell>
          <cell r="D45">
            <v>2</v>
          </cell>
          <cell r="E45">
            <v>21954</v>
          </cell>
          <cell r="F45">
            <v>17266</v>
          </cell>
          <cell r="G45">
            <v>119</v>
          </cell>
          <cell r="H45">
            <v>22631</v>
          </cell>
          <cell r="I45">
            <v>17308</v>
          </cell>
          <cell r="J45">
            <v>121</v>
          </cell>
          <cell r="K45">
            <v>97</v>
          </cell>
        </row>
        <row r="46">
          <cell r="A46">
            <v>35674</v>
          </cell>
          <cell r="B46">
            <v>677</v>
          </cell>
          <cell r="C46">
            <v>143</v>
          </cell>
          <cell r="D46">
            <v>2</v>
          </cell>
          <cell r="E46">
            <v>20918</v>
          </cell>
          <cell r="F46">
            <v>16060</v>
          </cell>
          <cell r="G46">
            <v>112</v>
          </cell>
          <cell r="H46">
            <v>21595</v>
          </cell>
          <cell r="I46">
            <v>16203</v>
          </cell>
          <cell r="J46">
            <v>114</v>
          </cell>
          <cell r="K46">
            <v>98</v>
          </cell>
        </row>
        <row r="47">
          <cell r="A47">
            <v>35704</v>
          </cell>
          <cell r="B47">
            <v>677</v>
          </cell>
          <cell r="C47">
            <v>3055</v>
          </cell>
          <cell r="D47">
            <v>2</v>
          </cell>
          <cell r="E47">
            <v>19994</v>
          </cell>
          <cell r="F47">
            <v>15053</v>
          </cell>
          <cell r="G47">
            <v>109</v>
          </cell>
          <cell r="H47">
            <v>20671</v>
          </cell>
          <cell r="I47">
            <v>18108</v>
          </cell>
          <cell r="J47">
            <v>111</v>
          </cell>
          <cell r="K47">
            <v>93</v>
          </cell>
        </row>
        <row r="48">
          <cell r="A48">
            <v>35735</v>
          </cell>
          <cell r="B48">
            <v>677</v>
          </cell>
          <cell r="C48">
            <v>4212</v>
          </cell>
          <cell r="D48">
            <v>2</v>
          </cell>
          <cell r="E48">
            <v>20829</v>
          </cell>
          <cell r="F48">
            <v>11656</v>
          </cell>
          <cell r="G48">
            <v>110</v>
          </cell>
          <cell r="H48">
            <v>21506</v>
          </cell>
          <cell r="I48">
            <v>15868</v>
          </cell>
          <cell r="J48">
            <v>112</v>
          </cell>
          <cell r="K48">
            <v>89</v>
          </cell>
        </row>
        <row r="49">
          <cell r="A49">
            <v>35765</v>
          </cell>
          <cell r="B49">
            <v>677.4</v>
          </cell>
          <cell r="C49">
            <v>64.5</v>
          </cell>
          <cell r="D49">
            <v>2</v>
          </cell>
          <cell r="E49">
            <v>20451.4</v>
          </cell>
          <cell r="F49">
            <v>13917.4</v>
          </cell>
          <cell r="G49">
            <v>112</v>
          </cell>
          <cell r="H49">
            <v>21128.800000000003</v>
          </cell>
          <cell r="I49">
            <v>13981.9</v>
          </cell>
          <cell r="J49">
            <v>114</v>
          </cell>
          <cell r="K49">
            <v>86</v>
          </cell>
        </row>
        <row r="50">
          <cell r="A50">
            <v>35796</v>
          </cell>
          <cell r="B50">
            <v>677</v>
          </cell>
          <cell r="C50">
            <v>275.6</v>
          </cell>
          <cell r="D50">
            <v>2</v>
          </cell>
          <cell r="E50">
            <v>20391.4</v>
          </cell>
          <cell r="F50">
            <v>12381.4</v>
          </cell>
          <cell r="G50">
            <v>112</v>
          </cell>
          <cell r="H50">
            <v>21068.4</v>
          </cell>
          <cell r="I50">
            <v>12657</v>
          </cell>
          <cell r="J50">
            <v>114</v>
          </cell>
          <cell r="K50">
            <v>86</v>
          </cell>
        </row>
        <row r="52">
          <cell r="A52" t="str">
            <v>Total</v>
          </cell>
          <cell r="B52">
            <v>9006.4</v>
          </cell>
          <cell r="C52">
            <v>11024.1</v>
          </cell>
          <cell r="D52">
            <v>24</v>
          </cell>
          <cell r="E52">
            <v>273491.8</v>
          </cell>
          <cell r="F52">
            <v>199424.8</v>
          </cell>
          <cell r="G52">
            <v>1507</v>
          </cell>
          <cell r="H52">
            <v>282498.2</v>
          </cell>
          <cell r="I52">
            <v>210448.9</v>
          </cell>
          <cell r="J52">
            <v>1531</v>
          </cell>
          <cell r="K52">
            <v>1002</v>
          </cell>
        </row>
        <row r="54">
          <cell r="A54" t="str">
            <v>Individual Pooling Level = $75,000:  0 claims over pooling level.</v>
          </cell>
        </row>
        <row r="55">
          <cell r="A55" t="str">
            <v>Large Claims over $20,000:</v>
          </cell>
        </row>
        <row r="56">
          <cell r="B56" t="str">
            <v>1.  $22,641  - PPO plan - Diagnosis not available.</v>
          </cell>
        </row>
        <row r="57">
          <cell r="B57" t="str">
            <v>2.  $61,321  - PrimeCare plan - Diagnosis not available.</v>
          </cell>
        </row>
        <row r="58">
          <cell r="A58" t="str">
            <v>Carrier:</v>
          </cell>
          <cell r="B58" t="str">
            <v>MSC</v>
          </cell>
          <cell r="C58" t="str">
            <v>* PrimeCare added 3-1-97.  Experience is not available.</v>
          </cell>
        </row>
        <row r="59">
          <cell r="C59" t="str">
            <v>Tradtional</v>
          </cell>
          <cell r="F59" t="str">
            <v>PPO</v>
          </cell>
          <cell r="K59" t="str">
            <v>Prime Care</v>
          </cell>
        </row>
        <row r="60">
          <cell r="A60" t="str">
            <v>Rates:</v>
          </cell>
        </row>
        <row r="61">
          <cell r="A61" t="str">
            <v>Employee</v>
          </cell>
          <cell r="C61">
            <v>220.21</v>
          </cell>
          <cell r="F61">
            <v>116.2</v>
          </cell>
          <cell r="K61">
            <v>97.65</v>
          </cell>
        </row>
        <row r="62">
          <cell r="A62" t="str">
            <v>Emp Spouse</v>
          </cell>
          <cell r="C62">
            <v>494.57</v>
          </cell>
          <cell r="F62">
            <v>245.72</v>
          </cell>
          <cell r="K62">
            <v>206.49</v>
          </cell>
        </row>
        <row r="63">
          <cell r="A63" t="str">
            <v>Emp Child</v>
          </cell>
          <cell r="C63">
            <v>352.55</v>
          </cell>
          <cell r="F63">
            <v>186.16</v>
          </cell>
          <cell r="K63">
            <v>156.44</v>
          </cell>
        </row>
        <row r="64">
          <cell r="A64" t="str">
            <v>Emp Children</v>
          </cell>
          <cell r="C64">
            <v>429.96</v>
          </cell>
          <cell r="F64">
            <v>227.18</v>
          </cell>
          <cell r="K64">
            <v>190.91</v>
          </cell>
        </row>
        <row r="65">
          <cell r="A65" t="str">
            <v>Emp Sp Child</v>
          </cell>
          <cell r="C65">
            <v>626.91</v>
          </cell>
          <cell r="F65">
            <v>315.68</v>
          </cell>
          <cell r="K65">
            <v>265.28</v>
          </cell>
        </row>
        <row r="66">
          <cell r="A66" t="str">
            <v>Emp Sp Children</v>
          </cell>
          <cell r="C66">
            <v>704.32</v>
          </cell>
          <cell r="F66">
            <v>356.7</v>
          </cell>
          <cell r="K66">
            <v>299.75</v>
          </cell>
        </row>
        <row r="68">
          <cell r="A68" t="str">
            <v>Medical Plan Experience by plan type</v>
          </cell>
        </row>
        <row r="70">
          <cell r="B70" t="str">
            <v>Traditional Plan #1806</v>
          </cell>
          <cell r="E70" t="str">
            <v>PPO Plan #7442</v>
          </cell>
          <cell r="H70" t="str">
            <v>Combined Plans</v>
          </cell>
          <cell r="K70" t="str">
            <v>PrimeCare #2542</v>
          </cell>
        </row>
        <row r="71">
          <cell r="B71" t="str">
            <v>Paid</v>
          </cell>
          <cell r="C71" t="str">
            <v>Net Paid</v>
          </cell>
          <cell r="D71" t="str">
            <v>Employee</v>
          </cell>
          <cell r="E71" t="str">
            <v>Paid</v>
          </cell>
          <cell r="F71" t="str">
            <v>Net Paid</v>
          </cell>
          <cell r="G71" t="str">
            <v>Employee</v>
          </cell>
          <cell r="H71" t="str">
            <v>Paid</v>
          </cell>
          <cell r="I71" t="str">
            <v>Net Paid</v>
          </cell>
          <cell r="J71" t="str">
            <v>Employee</v>
          </cell>
          <cell r="K71" t="str">
            <v>HMO Plan</v>
          </cell>
        </row>
        <row r="72">
          <cell r="B72" t="str">
            <v>Premium</v>
          </cell>
          <cell r="C72" t="str">
            <v>Claims</v>
          </cell>
          <cell r="D72" t="str">
            <v>Count</v>
          </cell>
          <cell r="E72" t="str">
            <v>Premium</v>
          </cell>
          <cell r="F72" t="str">
            <v>Claims</v>
          </cell>
          <cell r="G72" t="str">
            <v>Count</v>
          </cell>
          <cell r="H72" t="str">
            <v>Premium</v>
          </cell>
          <cell r="I72" t="str">
            <v>Claims</v>
          </cell>
          <cell r="J72" t="str">
            <v>Count</v>
          </cell>
          <cell r="K72" t="str">
            <v>Emp Count</v>
          </cell>
        </row>
        <row r="73">
          <cell r="A73">
            <v>35827</v>
          </cell>
          <cell r="B73">
            <v>677.4</v>
          </cell>
          <cell r="C73">
            <v>0</v>
          </cell>
          <cell r="D73">
            <v>2</v>
          </cell>
          <cell r="E73">
            <v>19608</v>
          </cell>
          <cell r="F73">
            <v>9746</v>
          </cell>
          <cell r="G73">
            <v>112</v>
          </cell>
          <cell r="H73">
            <v>20285.4</v>
          </cell>
          <cell r="I73">
            <v>9746</v>
          </cell>
          <cell r="J73">
            <v>114</v>
          </cell>
          <cell r="K73">
            <v>86</v>
          </cell>
        </row>
        <row r="74">
          <cell r="A74">
            <v>35855</v>
          </cell>
          <cell r="B74">
            <v>677.4</v>
          </cell>
          <cell r="C74">
            <v>27</v>
          </cell>
          <cell r="D74">
            <v>2</v>
          </cell>
          <cell r="E74">
            <v>20822</v>
          </cell>
          <cell r="F74">
            <v>7859</v>
          </cell>
          <cell r="G74">
            <v>112</v>
          </cell>
          <cell r="H74">
            <v>21499.4</v>
          </cell>
          <cell r="I74">
            <v>7886</v>
          </cell>
          <cell r="J74">
            <v>114</v>
          </cell>
          <cell r="K74">
            <v>84</v>
          </cell>
        </row>
        <row r="75">
          <cell r="A75">
            <v>35886</v>
          </cell>
          <cell r="B75">
            <v>677.4</v>
          </cell>
          <cell r="C75">
            <v>0</v>
          </cell>
          <cell r="D75">
            <v>2</v>
          </cell>
          <cell r="E75">
            <v>20452</v>
          </cell>
          <cell r="F75">
            <v>20758</v>
          </cell>
          <cell r="G75">
            <v>112</v>
          </cell>
          <cell r="H75">
            <v>21129.4</v>
          </cell>
          <cell r="I75">
            <v>20758</v>
          </cell>
          <cell r="J75">
            <v>114</v>
          </cell>
          <cell r="K75">
            <v>85</v>
          </cell>
        </row>
        <row r="76">
          <cell r="A76">
            <v>35916</v>
          </cell>
          <cell r="B76">
            <v>677.4</v>
          </cell>
          <cell r="C76">
            <v>26</v>
          </cell>
          <cell r="D76">
            <v>2</v>
          </cell>
          <cell r="E76">
            <v>19370</v>
          </cell>
          <cell r="F76">
            <v>35170</v>
          </cell>
          <cell r="G76">
            <v>111</v>
          </cell>
          <cell r="H76">
            <v>20047.4</v>
          </cell>
          <cell r="I76">
            <v>35196</v>
          </cell>
          <cell r="J76">
            <v>113</v>
          </cell>
          <cell r="K76">
            <v>86</v>
          </cell>
        </row>
        <row r="77">
          <cell r="A77">
            <v>35947</v>
          </cell>
          <cell r="B77">
            <v>677.4</v>
          </cell>
          <cell r="C77">
            <v>107</v>
          </cell>
          <cell r="D77">
            <v>2</v>
          </cell>
          <cell r="E77">
            <v>19344</v>
          </cell>
          <cell r="F77">
            <v>9538</v>
          </cell>
          <cell r="G77">
            <v>108</v>
          </cell>
          <cell r="H77">
            <v>20021.4</v>
          </cell>
          <cell r="I77">
            <v>9645</v>
          </cell>
          <cell r="J77">
            <v>110</v>
          </cell>
          <cell r="K77">
            <v>85</v>
          </cell>
        </row>
        <row r="78">
          <cell r="A78">
            <v>35977</v>
          </cell>
          <cell r="B78">
            <v>677.4</v>
          </cell>
          <cell r="C78">
            <v>110</v>
          </cell>
          <cell r="D78">
            <v>2</v>
          </cell>
          <cell r="E78">
            <v>19060</v>
          </cell>
          <cell r="F78">
            <v>14775</v>
          </cell>
          <cell r="G78">
            <v>108</v>
          </cell>
          <cell r="H78">
            <v>19737.4</v>
          </cell>
          <cell r="I78">
            <v>14885</v>
          </cell>
          <cell r="J78">
            <v>110</v>
          </cell>
          <cell r="K78">
            <v>85</v>
          </cell>
        </row>
        <row r="79">
          <cell r="A79">
            <v>36008</v>
          </cell>
          <cell r="B79">
            <v>677.4</v>
          </cell>
          <cell r="C79">
            <v>92</v>
          </cell>
          <cell r="D79">
            <v>2</v>
          </cell>
          <cell r="E79">
            <v>19262</v>
          </cell>
          <cell r="F79">
            <v>9525.5</v>
          </cell>
          <cell r="G79">
            <v>108</v>
          </cell>
          <cell r="H79">
            <v>19939.4</v>
          </cell>
          <cell r="I79">
            <v>9617.5</v>
          </cell>
          <cell r="J79">
            <v>110</v>
          </cell>
          <cell r="K79">
            <v>85</v>
          </cell>
        </row>
        <row r="80">
          <cell r="A80">
            <v>36039</v>
          </cell>
          <cell r="B80">
            <v>677.4</v>
          </cell>
          <cell r="C80">
            <v>135</v>
          </cell>
          <cell r="D80">
            <v>2</v>
          </cell>
          <cell r="E80">
            <v>21174.5</v>
          </cell>
          <cell r="F80">
            <v>26132.5</v>
          </cell>
          <cell r="G80">
            <v>108</v>
          </cell>
          <cell r="H80">
            <v>21851.9</v>
          </cell>
          <cell r="I80">
            <v>26267.5</v>
          </cell>
          <cell r="J80">
            <v>110</v>
          </cell>
          <cell r="K80">
            <v>85</v>
          </cell>
        </row>
        <row r="81">
          <cell r="A81">
            <v>36069</v>
          </cell>
          <cell r="B81">
            <v>677.4</v>
          </cell>
          <cell r="C81">
            <v>200</v>
          </cell>
          <cell r="D81">
            <v>2</v>
          </cell>
          <cell r="E81">
            <v>21995.5</v>
          </cell>
          <cell r="F81">
            <v>32491</v>
          </cell>
          <cell r="G81">
            <v>108</v>
          </cell>
          <cell r="H81">
            <v>22672.9</v>
          </cell>
          <cell r="I81">
            <v>32691</v>
          </cell>
          <cell r="J81">
            <v>110</v>
          </cell>
          <cell r="K81">
            <v>85</v>
          </cell>
        </row>
        <row r="82">
          <cell r="A82">
            <v>36100</v>
          </cell>
          <cell r="H82">
            <v>0</v>
          </cell>
          <cell r="I82">
            <v>0</v>
          </cell>
          <cell r="J82">
            <v>0</v>
          </cell>
        </row>
        <row r="83">
          <cell r="A83">
            <v>36130</v>
          </cell>
          <cell r="H83">
            <v>0</v>
          </cell>
          <cell r="I83">
            <v>0</v>
          </cell>
          <cell r="J83">
            <v>0</v>
          </cell>
        </row>
        <row r="84">
          <cell r="A84">
            <v>36161</v>
          </cell>
          <cell r="H84">
            <v>0</v>
          </cell>
          <cell r="I84">
            <v>0</v>
          </cell>
          <cell r="J84">
            <v>0</v>
          </cell>
        </row>
        <row r="86">
          <cell r="A86" t="str">
            <v>Total</v>
          </cell>
          <cell r="B86">
            <v>6096.599999999999</v>
          </cell>
          <cell r="C86">
            <v>697</v>
          </cell>
          <cell r="D86">
            <v>18</v>
          </cell>
          <cell r="E86">
            <v>181088</v>
          </cell>
          <cell r="F86">
            <v>165995</v>
          </cell>
          <cell r="G86">
            <v>987</v>
          </cell>
          <cell r="H86">
            <v>187184.59999999998</v>
          </cell>
          <cell r="I86">
            <v>166692</v>
          </cell>
          <cell r="J86">
            <v>1005</v>
          </cell>
          <cell r="K86">
            <v>766</v>
          </cell>
        </row>
        <row r="88">
          <cell r="A88" t="str">
            <v>Individual Pooling Level = $75,000:  0 claims over pooling level.</v>
          </cell>
        </row>
        <row r="89">
          <cell r="A89" t="str">
            <v>Large Claims over $20,000:</v>
          </cell>
        </row>
        <row r="90">
          <cell r="A90" t="str">
            <v>None to report</v>
          </cell>
        </row>
        <row r="92">
          <cell r="A92" t="str">
            <v>Carrier:</v>
          </cell>
          <cell r="B92" t="str">
            <v>MSC</v>
          </cell>
          <cell r="C92" t="str">
            <v>* PrimeCare added 3-1-97.  Experience is not available.</v>
          </cell>
        </row>
        <row r="93">
          <cell r="C93" t="str">
            <v>Traditional</v>
          </cell>
          <cell r="F93" t="str">
            <v>PPO</v>
          </cell>
          <cell r="K93" t="str">
            <v>Prime Care</v>
          </cell>
        </row>
        <row r="94">
          <cell r="A94" t="str">
            <v>Rates:</v>
          </cell>
        </row>
        <row r="95">
          <cell r="A95" t="str">
            <v>Employee</v>
          </cell>
          <cell r="C95">
            <v>232.32</v>
          </cell>
          <cell r="F95">
            <v>116.2</v>
          </cell>
          <cell r="K95">
            <v>117.18</v>
          </cell>
        </row>
        <row r="96">
          <cell r="A96" t="str">
            <v>Emp Spouse</v>
          </cell>
          <cell r="C96">
            <v>521.77</v>
          </cell>
          <cell r="F96">
            <v>245.72</v>
          </cell>
          <cell r="K96">
            <v>247.79</v>
          </cell>
        </row>
        <row r="97">
          <cell r="A97" t="str">
            <v>Emp Child</v>
          </cell>
          <cell r="C97">
            <v>371.94</v>
          </cell>
          <cell r="F97">
            <v>186.16</v>
          </cell>
          <cell r="K97">
            <v>187.73</v>
          </cell>
        </row>
        <row r="98">
          <cell r="A98" t="str">
            <v>Emp Children</v>
          </cell>
          <cell r="C98">
            <v>453.61</v>
          </cell>
          <cell r="F98">
            <v>227.18</v>
          </cell>
          <cell r="K98">
            <v>229.09</v>
          </cell>
        </row>
        <row r="99">
          <cell r="A99" t="str">
            <v>Emp Sp Child</v>
          </cell>
          <cell r="C99">
            <v>661.39</v>
          </cell>
          <cell r="F99">
            <v>315.68</v>
          </cell>
          <cell r="K99">
            <v>318.34</v>
          </cell>
        </row>
        <row r="100">
          <cell r="A100" t="str">
            <v>Emp Sp Children</v>
          </cell>
          <cell r="C100">
            <v>743.06</v>
          </cell>
          <cell r="F100">
            <v>356.7</v>
          </cell>
          <cell r="K100">
            <v>359.7</v>
          </cell>
        </row>
        <row r="101">
          <cell r="A101" t="str">
            <v>Retiree</v>
          </cell>
          <cell r="C101">
            <v>155.65</v>
          </cell>
        </row>
      </sheetData>
      <sheetData sheetId="8">
        <row r="2">
          <cell r="A2" t="str">
            <v>Medical Serivice Corporation</v>
          </cell>
        </row>
        <row r="3">
          <cell r="A3" t="str">
            <v>End of Year Accounting:  2/1/97 - 1/31/98</v>
          </cell>
        </row>
        <row r="4">
          <cell r="A4">
            <v>1</v>
          </cell>
          <cell r="B4">
            <v>12</v>
          </cell>
          <cell r="D4">
            <v>9</v>
          </cell>
          <cell r="M4">
            <v>1</v>
          </cell>
        </row>
        <row r="6">
          <cell r="D6" t="str">
            <v>A</v>
          </cell>
          <cell r="E6" t="str">
            <v>B</v>
          </cell>
          <cell r="F6" t="str">
            <v>C</v>
          </cell>
          <cell r="G6" t="str">
            <v>D</v>
          </cell>
          <cell r="H6" t="str">
            <v>E</v>
          </cell>
          <cell r="I6" t="str">
            <v>F</v>
          </cell>
          <cell r="J6" t="str">
            <v>G</v>
          </cell>
          <cell r="K6" t="str">
            <v>H</v>
          </cell>
          <cell r="L6" t="str">
            <v>I</v>
          </cell>
          <cell r="M6" t="str">
            <v>J</v>
          </cell>
        </row>
        <row r="7">
          <cell r="D7" t="str">
            <v>Billed</v>
          </cell>
          <cell r="E7" t="str">
            <v>Pooling</v>
          </cell>
          <cell r="F7" t="str">
            <v>Retention</v>
          </cell>
          <cell r="G7" t="str">
            <v>Gross</v>
          </cell>
          <cell r="H7" t="str">
            <v>Pooled</v>
          </cell>
          <cell r="I7" t="str">
            <v>Net Paid</v>
          </cell>
          <cell r="J7" t="str">
            <v>Reserve</v>
          </cell>
          <cell r="K7" t="str">
            <v>Total</v>
          </cell>
          <cell r="L7" t="str">
            <v>Expense</v>
          </cell>
          <cell r="M7" t="str">
            <v>Net</v>
          </cell>
        </row>
        <row r="8">
          <cell r="D8" t="str">
            <v>Premium</v>
          </cell>
          <cell r="E8" t="str">
            <v>Expense</v>
          </cell>
          <cell r="F8" t="str">
            <v>Charge</v>
          </cell>
          <cell r="G8" t="str">
            <v>Claims</v>
          </cell>
          <cell r="H8" t="str">
            <v>Claims</v>
          </cell>
          <cell r="I8" t="str">
            <v>Claims</v>
          </cell>
          <cell r="J8" t="str">
            <v>Adjustment</v>
          </cell>
          <cell r="K8" t="str">
            <v>Expenses</v>
          </cell>
          <cell r="L8" t="str">
            <v>Loss Ratio</v>
          </cell>
          <cell r="M8" t="str">
            <v>Gain/(Loss)</v>
          </cell>
        </row>
        <row r="9">
          <cell r="I9" t="str">
            <v>D-E</v>
          </cell>
          <cell r="K9" t="str">
            <v>B+C+F+G</v>
          </cell>
          <cell r="L9" t="str">
            <v>H/A</v>
          </cell>
          <cell r="M9" t="str">
            <v>A-H</v>
          </cell>
        </row>
        <row r="11">
          <cell r="B11" t="str">
            <v>Traditional</v>
          </cell>
          <cell r="D11">
            <v>9009</v>
          </cell>
          <cell r="E11">
            <v>360.36</v>
          </cell>
          <cell r="F11">
            <v>1441.44</v>
          </cell>
          <cell r="G11">
            <v>11023</v>
          </cell>
          <cell r="H11">
            <v>0</v>
          </cell>
          <cell r="I11">
            <v>11023</v>
          </cell>
          <cell r="J11">
            <v>1872</v>
          </cell>
          <cell r="K11">
            <v>14696.8</v>
          </cell>
          <cell r="L11">
            <v>1.6313464313464312</v>
          </cell>
          <cell r="M11">
            <v>-5687.799999999999</v>
          </cell>
        </row>
        <row r="12">
          <cell r="B12" t="str">
            <v>PPO</v>
          </cell>
          <cell r="D12">
            <v>273492</v>
          </cell>
          <cell r="E12">
            <v>10939.68</v>
          </cell>
          <cell r="F12">
            <v>47861.1</v>
          </cell>
          <cell r="G12">
            <v>199426</v>
          </cell>
          <cell r="H12">
            <v>0</v>
          </cell>
          <cell r="I12">
            <v>199426</v>
          </cell>
          <cell r="J12">
            <v>-1872</v>
          </cell>
          <cell r="K12">
            <v>256354.78</v>
          </cell>
          <cell r="L12">
            <v>0.9373392274728328</v>
          </cell>
          <cell r="M12">
            <v>17137.22</v>
          </cell>
        </row>
        <row r="15">
          <cell r="B15" t="str">
            <v>Total</v>
          </cell>
          <cell r="D15">
            <v>282501</v>
          </cell>
          <cell r="E15">
            <v>11300.04</v>
          </cell>
          <cell r="F15">
            <v>49302.54</v>
          </cell>
          <cell r="G15">
            <v>210449</v>
          </cell>
          <cell r="H15">
            <v>0</v>
          </cell>
          <cell r="I15">
            <v>210449</v>
          </cell>
          <cell r="J15">
            <v>0</v>
          </cell>
          <cell r="K15">
            <v>271051.58</v>
          </cell>
          <cell r="L15">
            <v>0.9594712231107148</v>
          </cell>
          <cell r="M15">
            <v>11449.420000000002</v>
          </cell>
        </row>
        <row r="19">
          <cell r="E19" t="str">
            <v>Rate Stabilization Reserve (RSR) Calculation</v>
          </cell>
        </row>
        <row r="21">
          <cell r="D21" t="str">
            <v>RSR as of February 1, 1995:</v>
          </cell>
          <cell r="K21">
            <v>-347834</v>
          </cell>
        </row>
        <row r="22">
          <cell r="D22" t="str">
            <v>     2/1/95 to 1/31/96 Contract Year Gain or (Loss):</v>
          </cell>
          <cell r="K22">
            <v>92407</v>
          </cell>
        </row>
        <row r="24">
          <cell r="D24" t="str">
            <v>RSR as of February 1, 1996:</v>
          </cell>
          <cell r="K24">
            <v>-255427</v>
          </cell>
        </row>
        <row r="25">
          <cell r="D25" t="str">
            <v>     2/1/96 to 1/31/97 Contract Year Gain or (Loss):</v>
          </cell>
          <cell r="K25">
            <v>133736</v>
          </cell>
        </row>
        <row r="27">
          <cell r="D27" t="str">
            <v>RSR as of February 1, 1997:</v>
          </cell>
          <cell r="K27">
            <v>-121691</v>
          </cell>
        </row>
        <row r="28">
          <cell r="D28" t="str">
            <v>     2/1/97 to 1/31/98 Contract Year Gain or (Loss):</v>
          </cell>
          <cell r="K28">
            <v>11449.420000000002</v>
          </cell>
        </row>
        <row r="31">
          <cell r="D31" t="str">
            <v>RSR as of February 1, 1997:</v>
          </cell>
          <cell r="K31">
            <v>-110241.58</v>
          </cell>
        </row>
        <row r="33">
          <cell r="D33" t="str">
            <v>Minimum amount required held in RSR:</v>
          </cell>
          <cell r="K33">
            <v>25166</v>
          </cell>
        </row>
        <row r="34">
          <cell r="D34" t="str">
            <v>      (10% of current contract year's annual premium)</v>
          </cell>
        </row>
        <row r="35">
          <cell r="D35" t="str">
            <v>Amount available for contract holder use</v>
          </cell>
          <cell r="K3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file"/>
      <sheetName val="Large Claims"/>
      <sheetName val="Diagnostic Categories"/>
      <sheetName val="Claims by Diag Cat."/>
      <sheetName val="Don't Print Remaining"/>
      <sheetName val="Exec Summary"/>
      <sheetName val="Experience"/>
      <sheetName val="Large Claims-GHNW"/>
      <sheetName val="Claim Summary"/>
    </sheetNames>
    <sheetDataSet>
      <sheetData sheetId="6">
        <row r="2">
          <cell r="A2" t="str">
            <v>Medical Plan Experience</v>
          </cell>
        </row>
        <row r="19">
          <cell r="J19" t="str">
            <v>Contract Period</v>
          </cell>
        </row>
        <row r="20">
          <cell r="J20" t="str">
            <v>Jan 00-Dec 00</v>
          </cell>
        </row>
        <row r="22">
          <cell r="F22" t="str">
            <v>Paid Premium</v>
          </cell>
          <cell r="J22">
            <v>291989.14</v>
          </cell>
        </row>
        <row r="24">
          <cell r="F24" t="str">
            <v>Pooling Expense</v>
          </cell>
          <cell r="J24">
            <v>21899.1855</v>
          </cell>
        </row>
        <row r="26">
          <cell r="F26" t="str">
            <v>Administration</v>
          </cell>
          <cell r="J26">
            <v>65113.57822</v>
          </cell>
        </row>
        <row r="28">
          <cell r="F28" t="str">
            <v>Net Paid Claims</v>
          </cell>
          <cell r="J28">
            <v>163334.91</v>
          </cell>
        </row>
        <row r="30">
          <cell r="F30" t="str">
            <v>Total Expenses</v>
          </cell>
          <cell r="J30">
            <v>250347.67372000002</v>
          </cell>
        </row>
        <row r="32">
          <cell r="F32" t="str">
            <v>Expense Loss Ratio</v>
          </cell>
          <cell r="J32">
            <v>0.8573869347332576</v>
          </cell>
        </row>
        <row r="38">
          <cell r="A38" t="str">
            <v>Combined Plan Experience </v>
          </cell>
        </row>
        <row r="40">
          <cell r="C40" t="str">
            <v>A</v>
          </cell>
          <cell r="D40" t="str">
            <v>B</v>
          </cell>
          <cell r="E40" t="str">
            <v>B</v>
          </cell>
          <cell r="F40" t="str">
            <v>C</v>
          </cell>
          <cell r="G40" t="str">
            <v>D</v>
          </cell>
          <cell r="H40" t="str">
            <v>E</v>
          </cell>
          <cell r="I40" t="str">
            <v>F</v>
          </cell>
          <cell r="J40" t="str">
            <v>G</v>
          </cell>
          <cell r="K40" t="str">
            <v>H</v>
          </cell>
          <cell r="L40" t="str">
            <v>I</v>
          </cell>
          <cell r="M40" t="str">
            <v>J</v>
          </cell>
          <cell r="N40" t="str">
            <v>K</v>
          </cell>
        </row>
        <row r="41">
          <cell r="C41" t="str">
            <v>Contractual</v>
          </cell>
          <cell r="D41" t="str">
            <v>Billed</v>
          </cell>
          <cell r="E41" t="str">
            <v>Pooling</v>
          </cell>
          <cell r="F41" t="str">
            <v>Retention</v>
          </cell>
          <cell r="G41" t="str">
            <v>Gross</v>
          </cell>
          <cell r="H41" t="str">
            <v>Pooled</v>
          </cell>
          <cell r="I41" t="str">
            <v>Net Paid</v>
          </cell>
          <cell r="J41" t="str">
            <v>Total</v>
          </cell>
          <cell r="K41" t="str">
            <v>Expense</v>
          </cell>
          <cell r="L41" t="str">
            <v>Gain/(Loss)</v>
          </cell>
          <cell r="M41" t="str">
            <v>Emp</v>
          </cell>
          <cell r="N41" t="str">
            <v>Cost Per</v>
          </cell>
        </row>
        <row r="42">
          <cell r="C42" t="str">
            <v>Premium</v>
          </cell>
          <cell r="D42" t="str">
            <v>Premium</v>
          </cell>
          <cell r="E42" t="str">
            <v>Expense</v>
          </cell>
          <cell r="F42" t="str">
            <v>Charge</v>
          </cell>
          <cell r="G42" t="str">
            <v>Claims</v>
          </cell>
          <cell r="H42" t="str">
            <v>Claims</v>
          </cell>
          <cell r="I42" t="str">
            <v>Claims</v>
          </cell>
          <cell r="J42" t="str">
            <v>Expenses</v>
          </cell>
          <cell r="K42" t="str">
            <v>Loss Ratio</v>
          </cell>
          <cell r="L42" t="str">
            <v>Monthly</v>
          </cell>
          <cell r="M42" t="str">
            <v>Count</v>
          </cell>
          <cell r="N42" t="str">
            <v>Employee</v>
          </cell>
        </row>
        <row r="43">
          <cell r="H43" t="str">
            <v>($50,000)</v>
          </cell>
          <cell r="I43" t="str">
            <v>D-E</v>
          </cell>
          <cell r="J43" t="str">
            <v>B+C+F</v>
          </cell>
          <cell r="K43" t="str">
            <v>G/A</v>
          </cell>
          <cell r="L43" t="str">
            <v>A-G</v>
          </cell>
          <cell r="N43" t="str">
            <v>G/J</v>
          </cell>
        </row>
        <row r="44">
          <cell r="A44" t="str">
            <v>1999</v>
          </cell>
        </row>
        <row r="45">
          <cell r="A45" t="str">
            <v>Plan Yr.</v>
          </cell>
          <cell r="C45" t="str">
            <v>$476,909</v>
          </cell>
          <cell r="D45" t="str">
            <v>NA</v>
          </cell>
          <cell r="E45" t="str">
            <v>$35,768</v>
          </cell>
          <cell r="F45" t="str">
            <v>$106,351</v>
          </cell>
          <cell r="G45" t="str">
            <v>$308,122</v>
          </cell>
          <cell r="H45" t="str">
            <v>$0</v>
          </cell>
          <cell r="I45">
            <v>308122</v>
          </cell>
          <cell r="J45">
            <v>450241</v>
          </cell>
          <cell r="K45">
            <v>0.9440815753110132</v>
          </cell>
          <cell r="L45">
            <v>26668</v>
          </cell>
          <cell r="M45" t="str">
            <v>1,687</v>
          </cell>
          <cell r="N45" t="str">
            <v>$266.89</v>
          </cell>
        </row>
        <row r="46">
          <cell r="A46" t="str">
            <v>1999</v>
          </cell>
        </row>
        <row r="47">
          <cell r="A47" t="str">
            <v>Mo. Ave</v>
          </cell>
          <cell r="C47" t="str">
            <v>$39,742</v>
          </cell>
          <cell r="D47" t="str">
            <v>NA</v>
          </cell>
          <cell r="E47" t="str">
            <v>$2,981</v>
          </cell>
          <cell r="F47" t="str">
            <v>$8,863</v>
          </cell>
          <cell r="G47" t="str">
            <v>$25,677</v>
          </cell>
          <cell r="H47" t="str">
            <v>$0</v>
          </cell>
          <cell r="I47">
            <v>25677</v>
          </cell>
          <cell r="J47">
            <v>37521</v>
          </cell>
          <cell r="K47">
            <v>0.9441145387750994</v>
          </cell>
          <cell r="L47">
            <v>2221</v>
          </cell>
          <cell r="M47">
            <v>141</v>
          </cell>
          <cell r="N47" t="str">
            <v>$266.89</v>
          </cell>
        </row>
        <row r="49">
          <cell r="A49">
            <v>36526</v>
          </cell>
          <cell r="C49">
            <v>57057.82</v>
          </cell>
          <cell r="D49" t="str">
            <v/>
          </cell>
          <cell r="E49">
            <v>4279.336499999999</v>
          </cell>
          <cell r="F49">
            <v>12723.89386</v>
          </cell>
          <cell r="G49">
            <v>23032.61</v>
          </cell>
          <cell r="H49">
            <v>0</v>
          </cell>
          <cell r="I49">
            <v>23032.61</v>
          </cell>
          <cell r="J49">
            <v>40035.84036</v>
          </cell>
          <cell r="K49">
            <v>0.7016713985918145</v>
          </cell>
          <cell r="L49">
            <v>17021.979639999998</v>
          </cell>
          <cell r="M49">
            <v>164</v>
          </cell>
          <cell r="N49">
            <v>244.12097780487807</v>
          </cell>
        </row>
        <row r="50">
          <cell r="A50">
            <v>36557</v>
          </cell>
          <cell r="C50">
            <v>57951.600000000006</v>
          </cell>
          <cell r="D50" t="str">
            <v/>
          </cell>
          <cell r="E50">
            <v>4346.37</v>
          </cell>
          <cell r="F50">
            <v>12923.2068</v>
          </cell>
          <cell r="G50">
            <v>12661.34</v>
          </cell>
          <cell r="H50">
            <v>0</v>
          </cell>
          <cell r="I50">
            <v>12661.34</v>
          </cell>
          <cell r="J50">
            <v>29930.9168</v>
          </cell>
          <cell r="K50">
            <v>0.5164812843821395</v>
          </cell>
          <cell r="L50">
            <v>28020.683200000007</v>
          </cell>
          <cell r="M50">
            <v>166</v>
          </cell>
          <cell r="N50">
            <v>180.30672771084338</v>
          </cell>
        </row>
        <row r="51">
          <cell r="A51">
            <v>36586</v>
          </cell>
          <cell r="C51">
            <v>58966.29</v>
          </cell>
          <cell r="D51" t="str">
            <v/>
          </cell>
          <cell r="E51">
            <v>4422.47175</v>
          </cell>
          <cell r="F51">
            <v>13149.48267</v>
          </cell>
          <cell r="G51">
            <v>29767.85</v>
          </cell>
          <cell r="H51">
            <v>0</v>
          </cell>
          <cell r="I51">
            <v>29767.85</v>
          </cell>
          <cell r="J51">
            <v>47339.80442</v>
          </cell>
          <cell r="K51">
            <v>0.8028282671336453</v>
          </cell>
          <cell r="L51">
            <v>11626.48558</v>
          </cell>
          <cell r="M51">
            <v>167</v>
          </cell>
          <cell r="N51">
            <v>283.47188275449105</v>
          </cell>
        </row>
        <row r="52">
          <cell r="A52">
            <v>36617</v>
          </cell>
          <cell r="C52">
            <v>58842.01</v>
          </cell>
          <cell r="D52" t="str">
            <v/>
          </cell>
          <cell r="E52">
            <v>4413.15075</v>
          </cell>
          <cell r="F52">
            <v>13121.76823</v>
          </cell>
          <cell r="G52">
            <v>45428.240000000005</v>
          </cell>
          <cell r="H52">
            <v>0</v>
          </cell>
          <cell r="I52">
            <v>45428.240000000005</v>
          </cell>
          <cell r="J52">
            <v>62963.15898000001</v>
          </cell>
          <cell r="K52">
            <v>1.0700375289695236</v>
          </cell>
          <cell r="L52">
            <v>-4121.148980000005</v>
          </cell>
          <cell r="M52">
            <v>167</v>
          </cell>
          <cell r="N52">
            <v>377.0249040718563</v>
          </cell>
        </row>
        <row r="53">
          <cell r="A53">
            <v>36647</v>
          </cell>
          <cell r="C53">
            <v>59171.42</v>
          </cell>
          <cell r="D53" t="str">
            <v/>
          </cell>
          <cell r="E53">
            <v>4437.8565</v>
          </cell>
          <cell r="F53">
            <v>13195.22666</v>
          </cell>
          <cell r="G53">
            <v>52444.869999999995</v>
          </cell>
          <cell r="H53">
            <v>0</v>
          </cell>
          <cell r="I53">
            <v>52444.869999999995</v>
          </cell>
          <cell r="J53">
            <v>70077.95316</v>
          </cell>
          <cell r="K53">
            <v>1.1843209637355332</v>
          </cell>
          <cell r="L53">
            <v>-10906.533160000006</v>
          </cell>
          <cell r="M53">
            <v>167</v>
          </cell>
          <cell r="N53">
            <v>419.6284620359282</v>
          </cell>
        </row>
        <row r="54">
          <cell r="A54">
            <v>36678</v>
          </cell>
          <cell r="C54" t="str">
            <v/>
          </cell>
          <cell r="D54" t="str">
            <v/>
          </cell>
          <cell r="G54" t="str">
            <v/>
          </cell>
          <cell r="K54" t="str">
            <v/>
          </cell>
        </row>
        <row r="55">
          <cell r="A55">
            <v>36708</v>
          </cell>
          <cell r="C55" t="str">
            <v/>
          </cell>
          <cell r="D55" t="str">
            <v/>
          </cell>
          <cell r="G55" t="str">
            <v/>
          </cell>
          <cell r="K55" t="str">
            <v/>
          </cell>
        </row>
        <row r="56">
          <cell r="A56">
            <v>36739</v>
          </cell>
          <cell r="C56" t="str">
            <v/>
          </cell>
          <cell r="D56" t="str">
            <v/>
          </cell>
          <cell r="G56" t="str">
            <v/>
          </cell>
          <cell r="K56" t="str">
            <v/>
          </cell>
        </row>
        <row r="57">
          <cell r="A57">
            <v>36770</v>
          </cell>
          <cell r="C57" t="str">
            <v/>
          </cell>
          <cell r="D57" t="str">
            <v/>
          </cell>
          <cell r="G57" t="str">
            <v/>
          </cell>
          <cell r="K57" t="str">
            <v/>
          </cell>
        </row>
        <row r="58">
          <cell r="A58">
            <v>36800</v>
          </cell>
          <cell r="C58" t="str">
            <v/>
          </cell>
          <cell r="D58" t="str">
            <v/>
          </cell>
          <cell r="G58" t="str">
            <v/>
          </cell>
          <cell r="K58" t="str">
            <v/>
          </cell>
          <cell r="N58" t="str">
            <v/>
          </cell>
        </row>
        <row r="59">
          <cell r="A59">
            <v>36831</v>
          </cell>
          <cell r="C59" t="str">
            <v/>
          </cell>
          <cell r="D59" t="str">
            <v/>
          </cell>
          <cell r="G59" t="str">
            <v/>
          </cell>
          <cell r="K59" t="str">
            <v/>
          </cell>
          <cell r="N59" t="str">
            <v/>
          </cell>
        </row>
        <row r="60">
          <cell r="A60">
            <v>36861</v>
          </cell>
          <cell r="C60" t="str">
            <v/>
          </cell>
          <cell r="D60" t="str">
            <v/>
          </cell>
          <cell r="G60" t="str">
            <v/>
          </cell>
          <cell r="K60" t="str">
            <v/>
          </cell>
          <cell r="N60" t="str">
            <v/>
          </cell>
        </row>
        <row r="62">
          <cell r="K62" t="str">
            <v/>
          </cell>
        </row>
        <row r="64">
          <cell r="A64" t="str">
            <v>1/00 - 12/00</v>
          </cell>
          <cell r="C64">
            <v>291989.14</v>
          </cell>
          <cell r="D64">
            <v>0</v>
          </cell>
          <cell r="E64">
            <v>21899.1855</v>
          </cell>
          <cell r="F64">
            <v>65113.57822</v>
          </cell>
          <cell r="G64">
            <v>163334.91</v>
          </cell>
          <cell r="H64">
            <v>0</v>
          </cell>
          <cell r="I64">
            <v>163334.91</v>
          </cell>
          <cell r="J64">
            <v>250347.67372000002</v>
          </cell>
          <cell r="K64">
            <v>0.8573869347332576</v>
          </cell>
          <cell r="L64">
            <v>41641.46627999999</v>
          </cell>
          <cell r="M64">
            <v>831</v>
          </cell>
          <cell r="N64">
            <v>301.26073853188933</v>
          </cell>
        </row>
        <row r="66">
          <cell r="A66" t="str">
            <v>Mo Ave</v>
          </cell>
          <cell r="C66">
            <v>58397.828</v>
          </cell>
          <cell r="D66" t="e">
            <v>#DIV/0!</v>
          </cell>
          <cell r="E66">
            <v>4379.8371</v>
          </cell>
          <cell r="F66">
            <v>13022.715644</v>
          </cell>
          <cell r="G66">
            <v>32666.982</v>
          </cell>
          <cell r="H66">
            <v>0</v>
          </cell>
          <cell r="I66">
            <v>32666.982</v>
          </cell>
          <cell r="J66">
            <v>50069.534744000004</v>
          </cell>
          <cell r="K66">
            <v>0.8573869347332576</v>
          </cell>
          <cell r="L66">
            <v>8328.293255999999</v>
          </cell>
          <cell r="M66">
            <v>166.2</v>
          </cell>
          <cell r="N66">
            <v>301.26073853188933</v>
          </cell>
        </row>
        <row r="71">
          <cell r="A71" t="str">
            <v>Medical Experience Plan 12921 (High Opton)</v>
          </cell>
        </row>
        <row r="73">
          <cell r="C73" t="str">
            <v>A</v>
          </cell>
          <cell r="D73" t="str">
            <v>B</v>
          </cell>
          <cell r="E73" t="str">
            <v>B</v>
          </cell>
          <cell r="F73" t="str">
            <v>C</v>
          </cell>
          <cell r="G73" t="str">
            <v>D</v>
          </cell>
          <cell r="H73" t="str">
            <v>E</v>
          </cell>
          <cell r="I73" t="str">
            <v>F</v>
          </cell>
          <cell r="J73" t="str">
            <v>G</v>
          </cell>
          <cell r="K73" t="str">
            <v>H</v>
          </cell>
          <cell r="L73" t="str">
            <v>I</v>
          </cell>
          <cell r="M73" t="str">
            <v>J</v>
          </cell>
          <cell r="N73" t="str">
            <v>K</v>
          </cell>
        </row>
        <row r="74">
          <cell r="C74" t="str">
            <v>Contractual</v>
          </cell>
          <cell r="D74" t="str">
            <v>Billed</v>
          </cell>
          <cell r="E74" t="str">
            <v>Pooling</v>
          </cell>
          <cell r="F74" t="str">
            <v>Retention</v>
          </cell>
          <cell r="G74" t="str">
            <v>Gross</v>
          </cell>
          <cell r="H74" t="str">
            <v>Pooled</v>
          </cell>
          <cell r="I74" t="str">
            <v>Net Paid</v>
          </cell>
          <cell r="J74" t="str">
            <v>Total</v>
          </cell>
          <cell r="K74" t="str">
            <v>Expense</v>
          </cell>
          <cell r="L74" t="str">
            <v>Gain/(Loss)</v>
          </cell>
          <cell r="M74" t="str">
            <v>Emp</v>
          </cell>
          <cell r="N74" t="str">
            <v>Cost Per</v>
          </cell>
        </row>
        <row r="75">
          <cell r="C75" t="str">
            <v>Premium</v>
          </cell>
          <cell r="D75" t="str">
            <v>Premium</v>
          </cell>
          <cell r="E75" t="str">
            <v>Expense</v>
          </cell>
          <cell r="F75" t="str">
            <v>Charge</v>
          </cell>
          <cell r="G75" t="str">
            <v>Claims</v>
          </cell>
          <cell r="H75" t="str">
            <v>Claims</v>
          </cell>
          <cell r="I75" t="str">
            <v>Claims</v>
          </cell>
          <cell r="J75" t="str">
            <v>Expenses</v>
          </cell>
          <cell r="K75" t="str">
            <v>Loss Ratio</v>
          </cell>
          <cell r="L75" t="str">
            <v>Monthly</v>
          </cell>
          <cell r="M75" t="str">
            <v>Count</v>
          </cell>
          <cell r="N75" t="str">
            <v>Employee</v>
          </cell>
        </row>
        <row r="76">
          <cell r="H76" t="str">
            <v>($50,000)</v>
          </cell>
          <cell r="I76" t="str">
            <v>D-E</v>
          </cell>
          <cell r="J76" t="str">
            <v>B+C+F</v>
          </cell>
          <cell r="K76" t="str">
            <v>G/A</v>
          </cell>
          <cell r="L76" t="str">
            <v>A-G</v>
          </cell>
          <cell r="N76" t="str">
            <v>G/J</v>
          </cell>
        </row>
        <row r="77">
          <cell r="A77" t="str">
            <v>1999</v>
          </cell>
        </row>
        <row r="78">
          <cell r="A78" t="str">
            <v>Plan Yr.</v>
          </cell>
          <cell r="C78">
            <v>140974</v>
          </cell>
          <cell r="D78" t="str">
            <v>NA</v>
          </cell>
          <cell r="E78">
            <v>10573</v>
          </cell>
          <cell r="F78">
            <v>31437</v>
          </cell>
          <cell r="G78">
            <v>68187</v>
          </cell>
          <cell r="H78">
            <v>0</v>
          </cell>
          <cell r="I78">
            <v>68186</v>
          </cell>
          <cell r="J78">
            <v>110196</v>
          </cell>
          <cell r="K78" t="str">
            <v>78%</v>
          </cell>
          <cell r="L78">
            <v>30777</v>
          </cell>
          <cell r="M78">
            <v>490</v>
          </cell>
          <cell r="N78" t="str">
            <v>$224.89</v>
          </cell>
        </row>
        <row r="79">
          <cell r="A79" t="str">
            <v>1999</v>
          </cell>
        </row>
        <row r="80">
          <cell r="A80" t="str">
            <v>Mo. Ave</v>
          </cell>
          <cell r="C80">
            <v>11748</v>
          </cell>
          <cell r="D80" t="str">
            <v>NA</v>
          </cell>
          <cell r="E80">
            <v>881</v>
          </cell>
          <cell r="F80">
            <v>2620</v>
          </cell>
          <cell r="G80">
            <v>5682</v>
          </cell>
          <cell r="H80">
            <v>0</v>
          </cell>
          <cell r="I80">
            <v>5682</v>
          </cell>
          <cell r="J80">
            <v>9183</v>
          </cell>
          <cell r="K80" t="str">
            <v>78%</v>
          </cell>
          <cell r="L80">
            <v>2565</v>
          </cell>
          <cell r="M80">
            <v>41</v>
          </cell>
          <cell r="N80" t="str">
            <v>$224.89</v>
          </cell>
        </row>
        <row r="82">
          <cell r="A82">
            <v>36526</v>
          </cell>
          <cell r="C82">
            <v>15767.15</v>
          </cell>
          <cell r="E82">
            <v>1182.5362499999999</v>
          </cell>
          <cell r="F82">
            <v>3516.07445</v>
          </cell>
          <cell r="G82">
            <v>7825.62</v>
          </cell>
          <cell r="H82">
            <v>0</v>
          </cell>
          <cell r="I82">
            <v>7825.62</v>
          </cell>
          <cell r="J82">
            <v>12524.2307</v>
          </cell>
          <cell r="K82">
            <v>0.7943243198675728</v>
          </cell>
          <cell r="L82">
            <v>3242.9192999999996</v>
          </cell>
          <cell r="M82">
            <v>48</v>
          </cell>
          <cell r="N82">
            <v>260.9214729166667</v>
          </cell>
        </row>
        <row r="83">
          <cell r="A83">
            <v>36557</v>
          </cell>
          <cell r="C83">
            <v>16094.3</v>
          </cell>
          <cell r="E83">
            <v>1207.0725</v>
          </cell>
          <cell r="F83">
            <v>3589.0289</v>
          </cell>
          <cell r="G83">
            <v>4313.23</v>
          </cell>
          <cell r="H83">
            <v>0</v>
          </cell>
          <cell r="I83">
            <v>4313.23</v>
          </cell>
          <cell r="J83">
            <v>9109.3314</v>
          </cell>
          <cell r="K83">
            <v>0.5659973655269257</v>
          </cell>
          <cell r="L83">
            <v>6984.9686</v>
          </cell>
          <cell r="M83">
            <v>49</v>
          </cell>
          <cell r="N83">
            <v>185.90472244897958</v>
          </cell>
        </row>
        <row r="84">
          <cell r="A84">
            <v>36586</v>
          </cell>
          <cell r="C84">
            <v>16055.37</v>
          </cell>
          <cell r="E84">
            <v>1204.15275</v>
          </cell>
          <cell r="F84">
            <v>3580.34751</v>
          </cell>
          <cell r="G84">
            <v>15972.73</v>
          </cell>
          <cell r="H84">
            <v>0</v>
          </cell>
          <cell r="I84">
            <v>15972.73</v>
          </cell>
          <cell r="J84">
            <v>20757.23026</v>
          </cell>
          <cell r="K84">
            <v>1.2928528124857912</v>
          </cell>
          <cell r="L84">
            <v>-4701.8602599999995</v>
          </cell>
          <cell r="M84">
            <v>48</v>
          </cell>
          <cell r="N84">
            <v>432.44229708333336</v>
          </cell>
        </row>
        <row r="85">
          <cell r="A85">
            <v>36617</v>
          </cell>
          <cell r="C85">
            <v>16451.65</v>
          </cell>
          <cell r="E85">
            <v>1233.87375</v>
          </cell>
          <cell r="F85">
            <v>3668.71795</v>
          </cell>
          <cell r="G85">
            <v>22967.11</v>
          </cell>
          <cell r="H85">
            <v>0</v>
          </cell>
          <cell r="I85">
            <v>22967.11</v>
          </cell>
          <cell r="J85">
            <v>27869.7017</v>
          </cell>
          <cell r="K85">
            <v>1.6940368716815637</v>
          </cell>
          <cell r="L85">
            <v>-11418.0517</v>
          </cell>
          <cell r="M85">
            <v>48</v>
          </cell>
          <cell r="N85">
            <v>580.6187854166667</v>
          </cell>
        </row>
        <row r="86">
          <cell r="A86">
            <v>36647</v>
          </cell>
          <cell r="C86">
            <v>16414.67</v>
          </cell>
          <cell r="E86">
            <v>1231.1002499999997</v>
          </cell>
          <cell r="F86">
            <v>3660.4714099999997</v>
          </cell>
          <cell r="G86">
            <v>18933.69</v>
          </cell>
          <cell r="H86">
            <v>0</v>
          </cell>
          <cell r="I86">
            <v>18933.69</v>
          </cell>
          <cell r="J86">
            <v>23825.261659999996</v>
          </cell>
          <cell r="K86">
            <v>1.451461507298045</v>
          </cell>
          <cell r="L86">
            <v>-7410.591659999998</v>
          </cell>
          <cell r="M86">
            <v>47</v>
          </cell>
          <cell r="N86">
            <v>506.92046085106375</v>
          </cell>
        </row>
        <row r="87">
          <cell r="A87">
            <v>36678</v>
          </cell>
          <cell r="E87" t="str">
            <v/>
          </cell>
          <cell r="F87" t="str">
            <v/>
          </cell>
          <cell r="I87" t="str">
            <v/>
          </cell>
          <cell r="K87" t="str">
            <v/>
          </cell>
          <cell r="N87" t="str">
            <v/>
          </cell>
        </row>
        <row r="88">
          <cell r="A88">
            <v>36708</v>
          </cell>
          <cell r="E88" t="str">
            <v/>
          </cell>
          <cell r="F88" t="str">
            <v/>
          </cell>
          <cell r="I88" t="str">
            <v/>
          </cell>
          <cell r="K88" t="str">
            <v/>
          </cell>
          <cell r="N88" t="str">
            <v/>
          </cell>
        </row>
        <row r="89">
          <cell r="A89">
            <v>36739</v>
          </cell>
          <cell r="E89" t="str">
            <v/>
          </cell>
          <cell r="F89" t="str">
            <v/>
          </cell>
          <cell r="I89" t="str">
            <v/>
          </cell>
          <cell r="K89" t="str">
            <v/>
          </cell>
          <cell r="N89" t="str">
            <v/>
          </cell>
        </row>
        <row r="90">
          <cell r="A90">
            <v>36770</v>
          </cell>
          <cell r="E90" t="str">
            <v/>
          </cell>
          <cell r="F90" t="str">
            <v/>
          </cell>
          <cell r="I90" t="str">
            <v/>
          </cell>
          <cell r="K90" t="str">
            <v/>
          </cell>
          <cell r="N90" t="str">
            <v/>
          </cell>
        </row>
        <row r="91">
          <cell r="A91">
            <v>36800</v>
          </cell>
          <cell r="E91" t="str">
            <v/>
          </cell>
          <cell r="F91" t="str">
            <v/>
          </cell>
          <cell r="I91" t="str">
            <v/>
          </cell>
          <cell r="K91" t="str">
            <v/>
          </cell>
          <cell r="N91" t="str">
            <v/>
          </cell>
        </row>
        <row r="92">
          <cell r="A92">
            <v>36831</v>
          </cell>
          <cell r="E92" t="str">
            <v/>
          </cell>
          <cell r="F92" t="str">
            <v/>
          </cell>
          <cell r="I92" t="str">
            <v/>
          </cell>
          <cell r="K92" t="str">
            <v/>
          </cell>
          <cell r="N92" t="str">
            <v/>
          </cell>
        </row>
        <row r="93">
          <cell r="A93">
            <v>36861</v>
          </cell>
          <cell r="E93" t="str">
            <v/>
          </cell>
          <cell r="F93" t="str">
            <v/>
          </cell>
          <cell r="I93" t="str">
            <v/>
          </cell>
          <cell r="K93" t="str">
            <v/>
          </cell>
          <cell r="N93" t="str">
            <v/>
          </cell>
        </row>
        <row r="94">
          <cell r="K94" t="str">
            <v/>
          </cell>
        </row>
        <row r="96">
          <cell r="A96" t="str">
            <v>1/00 - 12/00</v>
          </cell>
          <cell r="C96">
            <v>80783.14</v>
          </cell>
          <cell r="D96">
            <v>0</v>
          </cell>
          <cell r="E96">
            <v>6058.735499999999</v>
          </cell>
          <cell r="F96">
            <v>18014.640219999997</v>
          </cell>
          <cell r="G96">
            <v>70012.38</v>
          </cell>
          <cell r="H96">
            <v>0</v>
          </cell>
          <cell r="I96">
            <v>70012.38</v>
          </cell>
          <cell r="J96">
            <v>94085.75571999999</v>
          </cell>
          <cell r="K96">
            <v>1.164670693909645</v>
          </cell>
          <cell r="L96">
            <v>-13302.615719999998</v>
          </cell>
          <cell r="M96">
            <v>240</v>
          </cell>
          <cell r="N96">
            <v>392.0239821666666</v>
          </cell>
        </row>
        <row r="98">
          <cell r="A98" t="str">
            <v>Mo Ave</v>
          </cell>
          <cell r="C98">
            <v>16156.628</v>
          </cell>
          <cell r="D98" t="e">
            <v>#DIV/0!</v>
          </cell>
          <cell r="E98">
            <v>1211.7470999999998</v>
          </cell>
          <cell r="F98">
            <v>3602.9280439999993</v>
          </cell>
          <cell r="G98">
            <v>14002.476</v>
          </cell>
          <cell r="H98">
            <v>0</v>
          </cell>
          <cell r="I98">
            <v>14002.476</v>
          </cell>
          <cell r="J98">
            <v>18817.151143999996</v>
          </cell>
          <cell r="K98">
            <v>1.1646706939096447</v>
          </cell>
          <cell r="L98">
            <v>-2660.523144</v>
          </cell>
          <cell r="M98">
            <v>48</v>
          </cell>
          <cell r="N98">
            <v>392.0239821666666</v>
          </cell>
        </row>
        <row r="102">
          <cell r="A102" t="str">
            <v>Medical Experience Plan 12920 (Low Option)</v>
          </cell>
        </row>
        <row r="104">
          <cell r="C104" t="str">
            <v>A</v>
          </cell>
          <cell r="D104" t="str">
            <v>B</v>
          </cell>
          <cell r="E104" t="str">
            <v>B</v>
          </cell>
          <cell r="F104" t="str">
            <v>C</v>
          </cell>
          <cell r="G104" t="str">
            <v>D</v>
          </cell>
          <cell r="H104" t="str">
            <v>E</v>
          </cell>
          <cell r="I104" t="str">
            <v>F</v>
          </cell>
          <cell r="J104" t="str">
            <v>G</v>
          </cell>
          <cell r="K104" t="str">
            <v>H</v>
          </cell>
          <cell r="L104" t="str">
            <v>I</v>
          </cell>
          <cell r="M104" t="str">
            <v>J</v>
          </cell>
          <cell r="N104" t="str">
            <v>K</v>
          </cell>
        </row>
        <row r="105">
          <cell r="C105" t="str">
            <v>Contractual</v>
          </cell>
          <cell r="D105" t="str">
            <v>Billed</v>
          </cell>
          <cell r="E105" t="str">
            <v>Pooling</v>
          </cell>
          <cell r="F105" t="str">
            <v>Retention</v>
          </cell>
          <cell r="G105" t="str">
            <v>Gross</v>
          </cell>
          <cell r="H105" t="str">
            <v>Pooled</v>
          </cell>
          <cell r="I105" t="str">
            <v>Net Paid</v>
          </cell>
          <cell r="J105" t="str">
            <v>Total</v>
          </cell>
          <cell r="K105" t="str">
            <v>Expense</v>
          </cell>
          <cell r="L105" t="str">
            <v>Gain/(Loss)</v>
          </cell>
          <cell r="M105" t="str">
            <v>Emp</v>
          </cell>
          <cell r="N105" t="str">
            <v>Cost Per</v>
          </cell>
        </row>
        <row r="106">
          <cell r="C106" t="str">
            <v>Premium</v>
          </cell>
          <cell r="D106" t="str">
            <v>Premium</v>
          </cell>
          <cell r="E106" t="str">
            <v>Expense</v>
          </cell>
          <cell r="F106" t="str">
            <v>Charge</v>
          </cell>
          <cell r="G106" t="str">
            <v>Claims</v>
          </cell>
          <cell r="H106" t="str">
            <v>Claims</v>
          </cell>
          <cell r="I106" t="str">
            <v>Claims</v>
          </cell>
          <cell r="J106" t="str">
            <v>Expenses</v>
          </cell>
          <cell r="K106" t="str">
            <v>Loss Ratio</v>
          </cell>
          <cell r="L106" t="str">
            <v>Monthly</v>
          </cell>
          <cell r="M106" t="str">
            <v>Count</v>
          </cell>
          <cell r="N106" t="str">
            <v>Employee</v>
          </cell>
        </row>
        <row r="107">
          <cell r="H107" t="str">
            <v>($50,000)</v>
          </cell>
          <cell r="I107" t="str">
            <v>D-E</v>
          </cell>
          <cell r="J107" t="str">
            <v>B+C+F</v>
          </cell>
          <cell r="K107" t="str">
            <v>G/A</v>
          </cell>
          <cell r="L107" t="str">
            <v>A-G</v>
          </cell>
          <cell r="N107" t="str">
            <v>G/J</v>
          </cell>
        </row>
        <row r="108">
          <cell r="A108" t="str">
            <v>1999</v>
          </cell>
        </row>
        <row r="109">
          <cell r="A109" t="str">
            <v>Plan Yr.</v>
          </cell>
          <cell r="C109">
            <v>335935</v>
          </cell>
          <cell r="D109" t="str">
            <v>NA</v>
          </cell>
          <cell r="E109">
            <v>25195</v>
          </cell>
          <cell r="F109">
            <v>74914</v>
          </cell>
          <cell r="G109">
            <v>239934</v>
          </cell>
          <cell r="H109">
            <v>0</v>
          </cell>
          <cell r="I109">
            <v>239934</v>
          </cell>
          <cell r="J109">
            <v>340043</v>
          </cell>
          <cell r="K109" t="str">
            <v>101%</v>
          </cell>
          <cell r="L109">
            <v>-4108</v>
          </cell>
          <cell r="M109">
            <v>1197</v>
          </cell>
          <cell r="N109" t="str">
            <v>$284.08</v>
          </cell>
        </row>
        <row r="110">
          <cell r="A110" t="str">
            <v>1999</v>
          </cell>
        </row>
        <row r="111">
          <cell r="A111" t="str">
            <v>Mo. Ave</v>
          </cell>
          <cell r="C111">
            <v>27995</v>
          </cell>
          <cell r="D111" t="str">
            <v>NA</v>
          </cell>
          <cell r="E111">
            <v>2100</v>
          </cell>
          <cell r="F111">
            <v>6243</v>
          </cell>
          <cell r="G111">
            <v>19995</v>
          </cell>
          <cell r="H111">
            <v>0</v>
          </cell>
          <cell r="I111">
            <v>19995</v>
          </cell>
          <cell r="J111">
            <v>28337</v>
          </cell>
          <cell r="K111" t="str">
            <v>101%</v>
          </cell>
          <cell r="L111">
            <v>-342</v>
          </cell>
          <cell r="M111">
            <v>100</v>
          </cell>
          <cell r="N111" t="str">
            <v>$284.08</v>
          </cell>
        </row>
        <row r="113">
          <cell r="A113">
            <v>36526</v>
          </cell>
          <cell r="C113">
            <v>41290.67</v>
          </cell>
          <cell r="E113">
            <v>3096.80025</v>
          </cell>
          <cell r="F113">
            <v>9207.81941</v>
          </cell>
          <cell r="G113">
            <v>15206.99</v>
          </cell>
          <cell r="H113">
            <v>0</v>
          </cell>
          <cell r="I113">
            <v>15206.99</v>
          </cell>
          <cell r="J113">
            <v>27511.609660000002</v>
          </cell>
          <cell r="K113">
            <v>0.6662911902374072</v>
          </cell>
          <cell r="L113">
            <v>13779.060339999996</v>
          </cell>
          <cell r="M113">
            <v>116</v>
          </cell>
          <cell r="N113">
            <v>237.16904879310346</v>
          </cell>
        </row>
        <row r="114">
          <cell r="A114">
            <v>36557</v>
          </cell>
          <cell r="C114">
            <v>41857.3</v>
          </cell>
          <cell r="E114">
            <v>3139.2975</v>
          </cell>
          <cell r="F114">
            <v>9334.1779</v>
          </cell>
          <cell r="G114">
            <v>8348.11</v>
          </cell>
          <cell r="H114">
            <v>0</v>
          </cell>
          <cell r="I114">
            <v>8348.11</v>
          </cell>
          <cell r="J114">
            <v>20821.585400000004</v>
          </cell>
          <cell r="K114">
            <v>0.4974421522649574</v>
          </cell>
          <cell r="L114">
            <v>21035.7146</v>
          </cell>
          <cell r="M114">
            <v>117</v>
          </cell>
          <cell r="N114">
            <v>177.9622683760684</v>
          </cell>
        </row>
        <row r="115">
          <cell r="A115">
            <v>36586</v>
          </cell>
          <cell r="C115">
            <v>42910.92</v>
          </cell>
          <cell r="E115">
            <v>3218.319</v>
          </cell>
          <cell r="F115">
            <v>9569.13516</v>
          </cell>
          <cell r="G115">
            <v>13795.12</v>
          </cell>
          <cell r="H115">
            <v>0</v>
          </cell>
          <cell r="I115">
            <v>13795.12</v>
          </cell>
          <cell r="J115">
            <v>26582.57416</v>
          </cell>
          <cell r="K115">
            <v>0.6194827367952027</v>
          </cell>
          <cell r="L115">
            <v>16328.345839999998</v>
          </cell>
          <cell r="M115">
            <v>119</v>
          </cell>
          <cell r="N115">
            <v>223.38297613445377</v>
          </cell>
        </row>
        <row r="116">
          <cell r="A116">
            <v>36617</v>
          </cell>
          <cell r="C116">
            <v>42390.36</v>
          </cell>
          <cell r="E116">
            <v>3179.277</v>
          </cell>
          <cell r="F116">
            <v>9453.05028</v>
          </cell>
          <cell r="G116">
            <v>22461.13</v>
          </cell>
          <cell r="H116">
            <v>0</v>
          </cell>
          <cell r="I116">
            <v>22461.13</v>
          </cell>
          <cell r="J116">
            <v>35093.45728</v>
          </cell>
          <cell r="K116">
            <v>0.8278641011777207</v>
          </cell>
          <cell r="L116">
            <v>7296.902719999998</v>
          </cell>
          <cell r="M116">
            <v>119</v>
          </cell>
          <cell r="N116">
            <v>294.9030023529412</v>
          </cell>
        </row>
        <row r="117">
          <cell r="A117">
            <v>36647</v>
          </cell>
          <cell r="C117">
            <v>42756.75</v>
          </cell>
          <cell r="E117">
            <v>3206.75625</v>
          </cell>
          <cell r="F117">
            <v>9534.75525</v>
          </cell>
          <cell r="G117">
            <v>33511.18</v>
          </cell>
          <cell r="H117">
            <v>0</v>
          </cell>
          <cell r="I117">
            <v>33511.18</v>
          </cell>
          <cell r="J117">
            <v>46252.6915</v>
          </cell>
          <cell r="K117">
            <v>1.0817634993305152</v>
          </cell>
          <cell r="L117">
            <v>-3495.941500000001</v>
          </cell>
          <cell r="M117">
            <v>120</v>
          </cell>
          <cell r="N117">
            <v>385.43909583333334</v>
          </cell>
        </row>
        <row r="118">
          <cell r="A118">
            <v>36678</v>
          </cell>
          <cell r="E118" t="str">
            <v/>
          </cell>
          <cell r="F118" t="str">
            <v/>
          </cell>
          <cell r="I118" t="str">
            <v/>
          </cell>
          <cell r="K118" t="str">
            <v/>
          </cell>
          <cell r="L118" t="str">
            <v/>
          </cell>
          <cell r="N118" t="str">
            <v/>
          </cell>
        </row>
        <row r="119">
          <cell r="A119">
            <v>36708</v>
          </cell>
          <cell r="E119" t="str">
            <v/>
          </cell>
          <cell r="F119" t="str">
            <v/>
          </cell>
          <cell r="I119" t="str">
            <v/>
          </cell>
          <cell r="K119" t="str">
            <v/>
          </cell>
          <cell r="L119" t="str">
            <v/>
          </cell>
          <cell r="N119" t="str">
            <v/>
          </cell>
        </row>
        <row r="120">
          <cell r="A120">
            <v>36739</v>
          </cell>
          <cell r="E120" t="str">
            <v/>
          </cell>
          <cell r="F120" t="str">
            <v/>
          </cell>
          <cell r="I120" t="str">
            <v/>
          </cell>
          <cell r="K120" t="str">
            <v/>
          </cell>
          <cell r="L120" t="str">
            <v/>
          </cell>
          <cell r="N120" t="str">
            <v/>
          </cell>
        </row>
        <row r="121">
          <cell r="A121">
            <v>36770</v>
          </cell>
          <cell r="E121" t="str">
            <v/>
          </cell>
          <cell r="F121" t="str">
            <v/>
          </cell>
          <cell r="I121" t="str">
            <v/>
          </cell>
          <cell r="K121" t="str">
            <v/>
          </cell>
          <cell r="L121" t="str">
            <v/>
          </cell>
          <cell r="N121" t="str">
            <v/>
          </cell>
        </row>
        <row r="122">
          <cell r="A122">
            <v>36800</v>
          </cell>
          <cell r="E122" t="str">
            <v/>
          </cell>
          <cell r="F122" t="str">
            <v/>
          </cell>
          <cell r="I122" t="str">
            <v/>
          </cell>
          <cell r="K122" t="str">
            <v/>
          </cell>
          <cell r="L122" t="str">
            <v/>
          </cell>
          <cell r="N122" t="str">
            <v/>
          </cell>
        </row>
        <row r="123">
          <cell r="A123">
            <v>36831</v>
          </cell>
          <cell r="E123" t="str">
            <v/>
          </cell>
          <cell r="F123" t="str">
            <v/>
          </cell>
          <cell r="I123" t="str">
            <v/>
          </cell>
          <cell r="K123" t="str">
            <v/>
          </cell>
          <cell r="L123" t="str">
            <v/>
          </cell>
          <cell r="N123" t="str">
            <v/>
          </cell>
        </row>
        <row r="124">
          <cell r="A124">
            <v>36861</v>
          </cell>
          <cell r="E124" t="str">
            <v/>
          </cell>
          <cell r="F124" t="str">
            <v/>
          </cell>
          <cell r="I124" t="str">
            <v/>
          </cell>
          <cell r="K124" t="str">
            <v/>
          </cell>
          <cell r="L124" t="str">
            <v/>
          </cell>
          <cell r="N124" t="str">
            <v/>
          </cell>
        </row>
        <row r="125">
          <cell r="K125" t="str">
            <v/>
          </cell>
          <cell r="L125" t="str">
            <v/>
          </cell>
        </row>
        <row r="127">
          <cell r="A127" t="str">
            <v>1/00 - 12/00</v>
          </cell>
          <cell r="C127">
            <v>211206</v>
          </cell>
          <cell r="D127">
            <v>0</v>
          </cell>
          <cell r="E127">
            <v>15840.45</v>
          </cell>
          <cell r="F127">
            <v>47098.937999999995</v>
          </cell>
          <cell r="G127">
            <v>93322.53</v>
          </cell>
          <cell r="H127">
            <v>0</v>
          </cell>
          <cell r="I127">
            <v>93322.53</v>
          </cell>
          <cell r="J127">
            <v>156261.918</v>
          </cell>
          <cell r="K127">
            <v>0.7398554870600267</v>
          </cell>
          <cell r="L127">
            <v>54944.081999999995</v>
          </cell>
          <cell r="M127">
            <v>591</v>
          </cell>
          <cell r="N127">
            <v>264.4025685279188</v>
          </cell>
        </row>
        <row r="129">
          <cell r="A129" t="str">
            <v>Mo Ave</v>
          </cell>
          <cell r="C129">
            <v>42241.2</v>
          </cell>
          <cell r="D129" t="e">
            <v>#DIV/0!</v>
          </cell>
          <cell r="E129">
            <v>3168.09</v>
          </cell>
          <cell r="F129">
            <v>9419.7876</v>
          </cell>
          <cell r="G129">
            <v>18664.506</v>
          </cell>
          <cell r="H129">
            <v>0</v>
          </cell>
          <cell r="I129">
            <v>18664.506</v>
          </cell>
          <cell r="J129">
            <v>31252.3836</v>
          </cell>
          <cell r="K129">
            <v>0.7398554870600268</v>
          </cell>
          <cell r="L129">
            <v>10988.8164</v>
          </cell>
          <cell r="M129">
            <v>118.2</v>
          </cell>
          <cell r="N129">
            <v>264.4025685279188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99"/>
      <sheetName val="RSR"/>
      <sheetName val="Archive"/>
    </sheetNames>
    <sheetDataSet>
      <sheetData sheetId="0">
        <row r="24">
          <cell r="H24" t="str">
            <v>Contract Period</v>
          </cell>
        </row>
        <row r="25">
          <cell r="H25" t="str">
            <v>April 99 - December 99</v>
          </cell>
        </row>
        <row r="27">
          <cell r="D27" t="str">
            <v>Premium</v>
          </cell>
          <cell r="H27">
            <v>223529.62999999998</v>
          </cell>
        </row>
        <row r="29">
          <cell r="D29" t="str">
            <v>Paid Claims</v>
          </cell>
          <cell r="H29">
            <v>210322.05000000002</v>
          </cell>
        </row>
        <row r="31">
          <cell r="D31" t="str">
            <v>Administration</v>
          </cell>
          <cell r="H31">
            <v>29058.851900000005</v>
          </cell>
        </row>
        <row r="33">
          <cell r="D33" t="str">
            <v>Total Expenses</v>
          </cell>
          <cell r="H33">
            <v>239380.90190000003</v>
          </cell>
        </row>
        <row r="35">
          <cell r="D35" t="str">
            <v>Expense Loss Ratio</v>
          </cell>
          <cell r="H35">
            <v>1.0709135155818048</v>
          </cell>
        </row>
        <row r="36">
          <cell r="A36">
            <v>1</v>
          </cell>
          <cell r="B36">
            <v>6</v>
          </cell>
          <cell r="C36">
            <v>3</v>
          </cell>
          <cell r="D36">
            <v>10</v>
          </cell>
          <cell r="E36">
            <v>10</v>
          </cell>
          <cell r="F36">
            <v>10</v>
          </cell>
          <cell r="G36">
            <v>10</v>
          </cell>
          <cell r="H36">
            <v>10</v>
          </cell>
          <cell r="I36">
            <v>10</v>
          </cell>
          <cell r="J36">
            <v>10</v>
          </cell>
          <cell r="K36">
            <v>1</v>
          </cell>
        </row>
        <row r="37">
          <cell r="D37" t="str">
            <v>A</v>
          </cell>
          <cell r="E37" t="str">
            <v>B</v>
          </cell>
          <cell r="F37" t="str">
            <v>C</v>
          </cell>
          <cell r="G37" t="str">
            <v>D</v>
          </cell>
          <cell r="H37" t="str">
            <v>E</v>
          </cell>
          <cell r="I37" t="str">
            <v>F</v>
          </cell>
          <cell r="J37" t="str">
            <v>G</v>
          </cell>
          <cell r="K37" t="str">
            <v>H</v>
          </cell>
        </row>
        <row r="38">
          <cell r="D38" t="str">
            <v>Monthly</v>
          </cell>
          <cell r="E38" t="str">
            <v>Paid</v>
          </cell>
          <cell r="F38" t="str">
            <v>Admin</v>
          </cell>
          <cell r="G38" t="str">
            <v>Total</v>
          </cell>
          <cell r="H38" t="str">
            <v>Expense </v>
          </cell>
          <cell r="I38" t="str">
            <v>Gain/(Loss)</v>
          </cell>
          <cell r="J38" t="str">
            <v>Employee</v>
          </cell>
          <cell r="K38" t="str">
            <v>Cost Per</v>
          </cell>
        </row>
        <row r="39">
          <cell r="D39" t="str">
            <v>Premium</v>
          </cell>
          <cell r="E39" t="str">
            <v>Claims</v>
          </cell>
          <cell r="F39" t="str">
            <v>Fees</v>
          </cell>
          <cell r="G39" t="str">
            <v>Expenses</v>
          </cell>
          <cell r="H39" t="str">
            <v>Loss Ratio</v>
          </cell>
          <cell r="I39" t="str">
            <v>Monthly</v>
          </cell>
          <cell r="J39" t="str">
            <v>Count</v>
          </cell>
          <cell r="K39" t="str">
            <v>Employee</v>
          </cell>
        </row>
        <row r="40">
          <cell r="G40" t="str">
            <v>B+C</v>
          </cell>
          <cell r="H40" t="str">
            <v>D/A</v>
          </cell>
          <cell r="I40" t="str">
            <v>A-D</v>
          </cell>
          <cell r="K40" t="str">
            <v>D/G</v>
          </cell>
        </row>
        <row r="41">
          <cell r="B41" t="str">
            <v>1998/99</v>
          </cell>
        </row>
        <row r="42">
          <cell r="B42" t="str">
            <v>Plan Yr.</v>
          </cell>
          <cell r="D42">
            <v>273370.72</v>
          </cell>
          <cell r="E42">
            <v>250527.05</v>
          </cell>
          <cell r="F42">
            <v>35538.1936</v>
          </cell>
          <cell r="G42">
            <v>286065.2436</v>
          </cell>
          <cell r="H42">
            <v>1.0464370273451378</v>
          </cell>
          <cell r="I42">
            <v>-12694.523600000015</v>
          </cell>
          <cell r="J42">
            <v>7991</v>
          </cell>
          <cell r="K42">
            <v>35.79842868226755</v>
          </cell>
        </row>
        <row r="43">
          <cell r="B43" t="str">
            <v>1998/99</v>
          </cell>
        </row>
        <row r="44">
          <cell r="B44" t="str">
            <v>Mo. Ave</v>
          </cell>
          <cell r="D44">
            <v>22780.89333333333</v>
          </cell>
          <cell r="E44">
            <v>20877.254166666666</v>
          </cell>
          <cell r="F44">
            <v>2961.516133333333</v>
          </cell>
          <cell r="G44">
            <v>23838.7703</v>
          </cell>
          <cell r="H44">
            <v>1.046437027345138</v>
          </cell>
          <cell r="I44">
            <v>-1057.8769666666678</v>
          </cell>
          <cell r="J44">
            <v>665.9166666666666</v>
          </cell>
          <cell r="K44">
            <v>35.798428682267556</v>
          </cell>
        </row>
        <row r="46">
          <cell r="B46">
            <v>36251</v>
          </cell>
          <cell r="D46">
            <v>24998.01</v>
          </cell>
          <cell r="E46">
            <v>26995.4</v>
          </cell>
          <cell r="F46">
            <v>3249.7412999999997</v>
          </cell>
          <cell r="G46">
            <v>30245.141300000003</v>
          </cell>
          <cell r="H46">
            <v>1.2099019601960317</v>
          </cell>
          <cell r="I46">
            <v>-5247.131300000005</v>
          </cell>
          <cell r="J46">
            <v>687</v>
          </cell>
          <cell r="K46">
            <v>44.02495094614265</v>
          </cell>
        </row>
        <row r="47">
          <cell r="B47">
            <v>36281</v>
          </cell>
          <cell r="D47">
            <v>22631.76</v>
          </cell>
          <cell r="E47">
            <v>21898.7</v>
          </cell>
          <cell r="F47">
            <v>2942.1288</v>
          </cell>
          <cell r="G47">
            <v>24840.8288</v>
          </cell>
          <cell r="H47">
            <v>1.0976092358702991</v>
          </cell>
          <cell r="I47">
            <v>-2209.068800000001</v>
          </cell>
          <cell r="J47">
            <v>610</v>
          </cell>
          <cell r="K47">
            <v>40.722670163934424</v>
          </cell>
        </row>
        <row r="48">
          <cell r="B48">
            <v>36312</v>
          </cell>
          <cell r="D48">
            <v>24188.89</v>
          </cell>
          <cell r="E48">
            <v>24703.06</v>
          </cell>
          <cell r="F48">
            <v>3144.5557</v>
          </cell>
          <cell r="G48">
            <v>27847.615700000002</v>
          </cell>
          <cell r="H48">
            <v>1.1512564528591434</v>
          </cell>
          <cell r="I48">
            <v>-3658.7257000000027</v>
          </cell>
          <cell r="J48">
            <v>648</v>
          </cell>
          <cell r="K48">
            <v>42.974715586419755</v>
          </cell>
        </row>
        <row r="49">
          <cell r="B49">
            <v>36342</v>
          </cell>
          <cell r="D49">
            <v>23306.8</v>
          </cell>
          <cell r="E49">
            <v>24381.4</v>
          </cell>
          <cell r="F49">
            <v>3029.884</v>
          </cell>
          <cell r="G49">
            <v>27411.284</v>
          </cell>
          <cell r="H49">
            <v>1.1761067156366383</v>
          </cell>
          <cell r="I49">
            <v>-4104.484</v>
          </cell>
          <cell r="J49">
            <v>627</v>
          </cell>
          <cell r="K49">
            <v>43.71815629984051</v>
          </cell>
        </row>
        <row r="50">
          <cell r="B50">
            <v>36373</v>
          </cell>
          <cell r="D50">
            <v>23152.5</v>
          </cell>
          <cell r="E50">
            <v>27971.94</v>
          </cell>
          <cell r="F50">
            <v>3009.8250000000003</v>
          </cell>
          <cell r="G50">
            <v>30981.765</v>
          </cell>
          <cell r="H50">
            <v>1.338160673793327</v>
          </cell>
          <cell r="I50">
            <v>-7829.264999999999</v>
          </cell>
          <cell r="J50">
            <v>625</v>
          </cell>
          <cell r="K50">
            <v>49.570824</v>
          </cell>
        </row>
        <row r="51">
          <cell r="B51">
            <v>36404</v>
          </cell>
          <cell r="D51">
            <v>24900.92</v>
          </cell>
          <cell r="E51">
            <v>29358</v>
          </cell>
          <cell r="F51">
            <v>3237.1196</v>
          </cell>
          <cell r="G51">
            <v>32595.119599999998</v>
          </cell>
          <cell r="H51">
            <v>1.3089925834065568</v>
          </cell>
          <cell r="I51">
            <v>-7694.1996</v>
          </cell>
          <cell r="J51">
            <v>654</v>
          </cell>
          <cell r="K51">
            <v>49.83963241590214</v>
          </cell>
        </row>
        <row r="52">
          <cell r="B52">
            <v>36434</v>
          </cell>
          <cell r="D52">
            <v>26730.36</v>
          </cell>
          <cell r="E52">
            <v>18464.95</v>
          </cell>
          <cell r="F52">
            <v>3474.9468</v>
          </cell>
          <cell r="G52">
            <v>21939.896800000002</v>
          </cell>
          <cell r="H52">
            <v>0.8207856833952106</v>
          </cell>
          <cell r="I52">
            <v>4790.463199999998</v>
          </cell>
          <cell r="J52">
            <v>697</v>
          </cell>
          <cell r="K52">
            <v>31.477613773314207</v>
          </cell>
        </row>
        <row r="53">
          <cell r="B53">
            <v>36465</v>
          </cell>
          <cell r="D53">
            <v>28134.15</v>
          </cell>
          <cell r="E53">
            <v>22465.75</v>
          </cell>
          <cell r="F53">
            <v>3657.4395000000004</v>
          </cell>
          <cell r="G53">
            <v>26123.1895</v>
          </cell>
          <cell r="H53">
            <v>0.9285224362562935</v>
          </cell>
          <cell r="I53">
            <v>2010.960500000001</v>
          </cell>
          <cell r="J53">
            <v>655</v>
          </cell>
          <cell r="K53">
            <v>39.8827320610687</v>
          </cell>
        </row>
        <row r="54">
          <cell r="B54">
            <v>36495</v>
          </cell>
          <cell r="D54">
            <v>25486.24</v>
          </cell>
          <cell r="E54">
            <v>14082.85</v>
          </cell>
          <cell r="F54">
            <v>3313.2112</v>
          </cell>
          <cell r="G54">
            <v>17396.0612</v>
          </cell>
          <cell r="H54">
            <v>0.6825667968284062</v>
          </cell>
          <cell r="I54">
            <v>8090.1788000000015</v>
          </cell>
          <cell r="J54">
            <v>638</v>
          </cell>
          <cell r="K54">
            <v>27.266553605015673</v>
          </cell>
        </row>
        <row r="55">
          <cell r="B55">
            <v>36526</v>
          </cell>
          <cell r="D55">
            <v>25342.03</v>
          </cell>
          <cell r="E55">
            <v>23194.05</v>
          </cell>
          <cell r="F55" t="str">
            <v/>
          </cell>
          <cell r="G55" t="str">
            <v/>
          </cell>
          <cell r="H55" t="str">
            <v/>
          </cell>
          <cell r="I55" t="str">
            <v/>
          </cell>
          <cell r="J55">
            <v>678</v>
          </cell>
          <cell r="K55" t="str">
            <v/>
          </cell>
        </row>
        <row r="56">
          <cell r="B56">
            <v>36557</v>
          </cell>
          <cell r="F56" t="str">
            <v/>
          </cell>
          <cell r="G56" t="str">
            <v/>
          </cell>
          <cell r="H56" t="str">
            <v/>
          </cell>
          <cell r="I56" t="str">
            <v/>
          </cell>
          <cell r="K56" t="str">
            <v/>
          </cell>
        </row>
        <row r="57">
          <cell r="B57">
            <v>36586</v>
          </cell>
          <cell r="F57" t="str">
            <v/>
          </cell>
          <cell r="G57" t="str">
            <v/>
          </cell>
          <cell r="H57" t="str">
            <v/>
          </cell>
          <cell r="I57" t="str">
            <v/>
          </cell>
          <cell r="K57" t="str">
            <v/>
          </cell>
        </row>
        <row r="59">
          <cell r="B59" t="str">
            <v>1999/2000</v>
          </cell>
        </row>
        <row r="60">
          <cell r="B60" t="str">
            <v>Plan Yr.</v>
          </cell>
          <cell r="D60">
            <v>223529.62999999998</v>
          </cell>
          <cell r="E60">
            <v>210322.05000000002</v>
          </cell>
          <cell r="F60">
            <v>29058.851900000005</v>
          </cell>
          <cell r="G60">
            <v>239380.90190000003</v>
          </cell>
          <cell r="H60">
            <v>1.0709135155818048</v>
          </cell>
          <cell r="I60">
            <v>-15851.27190000005</v>
          </cell>
          <cell r="J60">
            <v>5841</v>
          </cell>
          <cell r="K60">
            <v>40.98286284882726</v>
          </cell>
        </row>
        <row r="61">
          <cell r="B61" t="str">
            <v>1999/2000</v>
          </cell>
        </row>
        <row r="62">
          <cell r="B62" t="str">
            <v>Mo. Ave</v>
          </cell>
          <cell r="D62">
            <v>24836.625555555554</v>
          </cell>
          <cell r="E62">
            <v>23369.11666666667</v>
          </cell>
          <cell r="F62">
            <v>3228.7613222222226</v>
          </cell>
          <cell r="G62">
            <v>26597.877988888893</v>
          </cell>
          <cell r="H62">
            <v>1.0709135155818048</v>
          </cell>
          <cell r="I62">
            <v>-1761.252433333334</v>
          </cell>
          <cell r="J62">
            <v>649</v>
          </cell>
          <cell r="K62">
            <v>40.98286284882726</v>
          </cell>
        </row>
      </sheetData>
      <sheetData sheetId="1">
        <row r="3">
          <cell r="A3" t="str">
            <v>End of Year Accounting:  4/1/98 - 3/31/99</v>
          </cell>
        </row>
        <row r="6">
          <cell r="B6" t="str">
            <v>A</v>
          </cell>
          <cell r="C6" t="str">
            <v>B</v>
          </cell>
          <cell r="D6" t="str">
            <v>C</v>
          </cell>
          <cell r="E6" t="str">
            <v>D</v>
          </cell>
          <cell r="F6" t="str">
            <v>E</v>
          </cell>
          <cell r="G6" t="str">
            <v>F</v>
          </cell>
          <cell r="H6" t="str">
            <v>G</v>
          </cell>
          <cell r="I6" t="str">
            <v>H</v>
          </cell>
          <cell r="J6" t="str">
            <v>I</v>
          </cell>
        </row>
        <row r="7">
          <cell r="B7" t="str">
            <v>Billed</v>
          </cell>
          <cell r="C7" t="str">
            <v>Retention</v>
          </cell>
          <cell r="D7" t="str">
            <v>Net Paid</v>
          </cell>
          <cell r="E7" t="str">
            <v>Opening</v>
          </cell>
          <cell r="F7" t="str">
            <v>Closing</v>
          </cell>
          <cell r="G7" t="str">
            <v>Reserve</v>
          </cell>
          <cell r="H7" t="str">
            <v>Total</v>
          </cell>
          <cell r="I7" t="str">
            <v>Expense</v>
          </cell>
          <cell r="J7" t="str">
            <v>Net</v>
          </cell>
        </row>
        <row r="8">
          <cell r="B8" t="str">
            <v>Premium</v>
          </cell>
          <cell r="C8" t="str">
            <v>Charge</v>
          </cell>
          <cell r="D8" t="str">
            <v>Claims</v>
          </cell>
          <cell r="E8" t="str">
            <v>Reserve</v>
          </cell>
          <cell r="F8" t="str">
            <v>Reserve</v>
          </cell>
          <cell r="G8" t="str">
            <v>Adjustment</v>
          </cell>
          <cell r="H8" t="str">
            <v>Expenses</v>
          </cell>
          <cell r="I8" t="str">
            <v>Loss Ratio</v>
          </cell>
          <cell r="J8" t="str">
            <v>Gain/(Loss)</v>
          </cell>
        </row>
        <row r="9">
          <cell r="G9" t="str">
            <v>E-D</v>
          </cell>
          <cell r="H9" t="str">
            <v>B+C+F</v>
          </cell>
          <cell r="I9" t="str">
            <v>G/A</v>
          </cell>
          <cell r="J9" t="str">
            <v>A-G</v>
          </cell>
        </row>
        <row r="12">
          <cell r="B12">
            <v>273370.72</v>
          </cell>
          <cell r="C12">
            <v>35538.1936</v>
          </cell>
          <cell r="D12">
            <v>250527.05</v>
          </cell>
          <cell r="E12">
            <v>16000</v>
          </cell>
          <cell r="F12">
            <v>19000</v>
          </cell>
          <cell r="G12">
            <v>3000</v>
          </cell>
          <cell r="H12">
            <v>289065.2436</v>
          </cell>
          <cell r="I12">
            <v>1.0574111360572924</v>
          </cell>
          <cell r="J12">
            <v>-15694.523600000015</v>
          </cell>
        </row>
        <row r="17">
          <cell r="B17" t="str">
            <v>Rate Stabilization Reserve (RSR)</v>
          </cell>
        </row>
        <row r="19">
          <cell r="C19" t="str">
            <v>RSR as of April 1, 1995:</v>
          </cell>
          <cell r="H19">
            <v>29841.14</v>
          </cell>
        </row>
        <row r="20">
          <cell r="C20" t="str">
            <v>   4/1/95 to 3/31/96 Contract Year Gain or (Loss):</v>
          </cell>
          <cell r="H20">
            <v>-7716.04</v>
          </cell>
        </row>
        <row r="21">
          <cell r="C21" t="str">
            <v>   Interest Earned on Prior Stabilization:</v>
          </cell>
          <cell r="H21">
            <v>0</v>
          </cell>
        </row>
        <row r="22">
          <cell r="H22">
            <v>22125.1</v>
          </cell>
        </row>
        <row r="24">
          <cell r="C24" t="str">
            <v>RSR as of April 1, 1996:</v>
          </cell>
          <cell r="H24">
            <v>22125.1</v>
          </cell>
        </row>
        <row r="25">
          <cell r="C25" t="str">
            <v>   4/1/96 to 3/31/97 Contract Year Gain or (Loss):</v>
          </cell>
          <cell r="H25">
            <v>-9557.98</v>
          </cell>
        </row>
        <row r="26">
          <cell r="C26" t="str">
            <v>   Interest Earned on Prior Stabilization:</v>
          </cell>
          <cell r="H26">
            <v>865.09</v>
          </cell>
        </row>
        <row r="27">
          <cell r="H27">
            <v>13432.21</v>
          </cell>
        </row>
        <row r="29">
          <cell r="C29" t="str">
            <v>RSR as of April 1, 1997:</v>
          </cell>
          <cell r="H29">
            <v>13432.21</v>
          </cell>
        </row>
        <row r="30">
          <cell r="C30" t="str">
            <v>   4/1/97 to 3/31/98 Contract Year Gain or (Loss):</v>
          </cell>
          <cell r="H30">
            <v>13745.68</v>
          </cell>
        </row>
        <row r="31">
          <cell r="C31" t="str">
            <v>   Interest Earned on Prior Stabilization:</v>
          </cell>
          <cell r="H31">
            <v>568.74</v>
          </cell>
        </row>
        <row r="32">
          <cell r="H32">
            <v>27746.63</v>
          </cell>
        </row>
        <row r="34">
          <cell r="C34" t="str">
            <v>RSR as of April 1, 1998:</v>
          </cell>
          <cell r="H34">
            <v>27746.63</v>
          </cell>
        </row>
        <row r="35">
          <cell r="C35" t="str">
            <v>   4/1/98 to 3/31/99 Contract Year Gain or (Loss):</v>
          </cell>
          <cell r="H35">
            <v>-15694.52</v>
          </cell>
        </row>
        <row r="36">
          <cell r="C36" t="str">
            <v>   Interest Earned on Prior Stabilization:</v>
          </cell>
          <cell r="H36">
            <v>1109.64</v>
          </cell>
        </row>
        <row r="37">
          <cell r="C37" t="str">
            <v>RSR as of April 1, 1999:</v>
          </cell>
          <cell r="H37">
            <v>13161.75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file-2001"/>
      <sheetName val="Diag Cat-2001"/>
      <sheetName val="Claims by Diag Cat.-2001"/>
      <sheetName val="Lg Claims-2001"/>
      <sheetName val="Lg Claims-GHNW-2001"/>
      <sheetName val="Profile"/>
      <sheetName val="Diagnostic Categories"/>
      <sheetName val="Large Claims"/>
      <sheetName val="Claims by Diag Cat."/>
      <sheetName val="Large Claims-GHNW"/>
    </sheetNames>
    <sheetDataSet>
      <sheetData sheetId="0">
        <row r="8">
          <cell r="B8">
            <v>11467983.49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aims"/>
      <sheetName val="Admin"/>
      <sheetName val="Stop Loss"/>
      <sheetName val="ActPlanEnroll"/>
      <sheetName val="COBRAEnroll"/>
      <sheetName val="TotalEnroll"/>
      <sheetName val="CostFactors"/>
      <sheetName val="Summary Report"/>
      <sheetName val="YTDEstAGGAcctg"/>
    </sheetNames>
    <sheetDataSet>
      <sheetData sheetId="8">
        <row r="1">
          <cell r="A1" t="str">
            <v>EXTENDED SYSTEMS, INC.</v>
          </cell>
        </row>
        <row r="2">
          <cell r="A2" t="str">
            <v>YEAR TO DATE ACCOUNTING</v>
          </cell>
        </row>
        <row r="3">
          <cell r="A3" t="str">
            <v>CONTRACT PERIOD: JANUARY 1 THROUGH DECEMBER 31</v>
          </cell>
        </row>
        <row r="4">
          <cell r="A4" t="str">
            <v>FOR THE MONTH ENDING NOVEMBER 30, 2003</v>
          </cell>
        </row>
        <row r="7">
          <cell r="A7" t="str">
            <v>PLAN LIABILITY</v>
          </cell>
        </row>
        <row r="9">
          <cell r="A9">
            <v>1</v>
          </cell>
          <cell r="B9" t="str">
            <v>a.  MAXIMUM CLAIM LIABILITY</v>
          </cell>
          <cell r="E9">
            <v>943722.5599999999</v>
          </cell>
        </row>
        <row r="11">
          <cell r="B11" t="str">
            <v>b.  ADMINISTRATION</v>
          </cell>
          <cell r="E11">
            <v>22999.9</v>
          </cell>
        </row>
        <row r="13">
          <cell r="B13" t="str">
            <v>c.  STOP LOSS PREMIUMS</v>
          </cell>
          <cell r="E13">
            <v>122921.71999999999</v>
          </cell>
        </row>
        <row r="15">
          <cell r="B15" t="str">
            <v>d.  MAXIMUM LIABILITY (1a. + 1b. + 1c.)</v>
          </cell>
          <cell r="E15">
            <v>1089644.18</v>
          </cell>
        </row>
        <row r="18">
          <cell r="A18" t="str">
            <v>PLAN EXPENSES</v>
          </cell>
        </row>
        <row r="20">
          <cell r="A20">
            <v>2</v>
          </cell>
          <cell r="B20" t="str">
            <v>a.  NET PAID MEDICAL, Rx, &amp; DENTAL CLAIMS</v>
          </cell>
          <cell r="E20">
            <v>801544.79</v>
          </cell>
        </row>
        <row r="22">
          <cell r="B22" t="str">
            <v>b.  ADMINISTRATION</v>
          </cell>
          <cell r="E22">
            <v>22999.9</v>
          </cell>
        </row>
        <row r="24">
          <cell r="B24" t="str">
            <v>c.  STOP LOSS PREMIUMS</v>
          </cell>
        </row>
        <row r="25">
          <cell r="B25" t="str">
            <v>       Aggregate</v>
          </cell>
          <cell r="C25">
            <v>0</v>
          </cell>
        </row>
        <row r="26">
          <cell r="B26" t="str">
            <v>       Specific</v>
          </cell>
          <cell r="C26">
            <v>122921.71999999999</v>
          </cell>
          <cell r="E26">
            <v>122921.71999999999</v>
          </cell>
        </row>
        <row r="28">
          <cell r="B28" t="str">
            <v>d.  TOTAL PLAN EXPENSES (2a. + 2b. + 2c.)</v>
          </cell>
          <cell r="E28">
            <v>947466.41</v>
          </cell>
        </row>
        <row r="31">
          <cell r="A31" t="str">
            <v>YEAR TO DATE CONTRACTUAL POSITION</v>
          </cell>
        </row>
        <row r="33">
          <cell r="A33">
            <v>3</v>
          </cell>
          <cell r="B33" t="str">
            <v>a.  POSITION ON NOVEMBER, 30, 2003   (1d.- 2d.)</v>
          </cell>
          <cell r="E33">
            <v>142177.7699999999</v>
          </cell>
        </row>
        <row r="35">
          <cell r="B35" t="str">
            <v>b.  CONTRACT POSITION AS % OF ANNUAL LIABILITY</v>
          </cell>
          <cell r="E35">
            <v>0.1196075057272365</v>
          </cell>
        </row>
        <row r="36">
          <cell r="B36" t="str">
            <v>{ 3a. / [ (1d. / Months Completed ) * 12 ]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dical RFP"/>
      <sheetName val="Experience"/>
      <sheetName val="Censu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r 97"/>
      <sheetName val="Apr 98"/>
      <sheetName val="Jan 99"/>
      <sheetName val="RS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79"/>
  <sheetViews>
    <sheetView tabSelected="1" zoomScalePageLayoutView="0" workbookViewId="0" topLeftCell="A1">
      <selection activeCell="E5" sqref="E5"/>
    </sheetView>
  </sheetViews>
  <sheetFormatPr defaultColWidth="8.00390625" defaultRowHeight="12.75"/>
  <cols>
    <col min="1" max="1" width="3.7109375" style="135" customWidth="1"/>
    <col min="2" max="2" width="19.421875" style="135" customWidth="1"/>
    <col min="3" max="3" width="9.140625" style="135" customWidth="1"/>
    <col min="4" max="4" width="6.00390625" style="136" customWidth="1"/>
    <col min="5" max="5" width="11.00390625" style="135" customWidth="1"/>
    <col min="6" max="6" width="2.00390625" style="135" customWidth="1"/>
    <col min="7" max="7" width="11.00390625" style="135" customWidth="1"/>
    <col min="8" max="8" width="2.00390625" style="136" customWidth="1"/>
    <col min="9" max="9" width="11.00390625" style="135" customWidth="1"/>
    <col min="10" max="10" width="2.00390625" style="136" customWidth="1"/>
    <col min="11" max="11" width="11.00390625" style="135" customWidth="1"/>
    <col min="12" max="12" width="2.00390625" style="136" customWidth="1"/>
    <col min="13" max="13" width="11.00390625" style="135" customWidth="1"/>
    <col min="14" max="14" width="2.00390625" style="136" customWidth="1"/>
    <col min="15" max="15" width="11.00390625" style="135" customWidth="1"/>
    <col min="16" max="16" width="2.00390625" style="136" customWidth="1"/>
    <col min="17" max="18" width="8.00390625" style="135" customWidth="1"/>
    <col min="19" max="19" width="13.140625" style="135" customWidth="1"/>
    <col min="20" max="20" width="8.00390625" style="150" customWidth="1"/>
    <col min="21" max="58" width="8.00390625" style="135" customWidth="1"/>
    <col min="59" max="16384" width="8.00390625" style="135" customWidth="1"/>
  </cols>
  <sheetData>
    <row r="1" spans="1:16" ht="15.75" customHeight="1">
      <c r="A1" s="146"/>
      <c r="B1" s="147"/>
      <c r="C1" s="147"/>
      <c r="D1" s="148"/>
      <c r="E1" s="147"/>
      <c r="F1" s="147"/>
      <c r="G1" s="149"/>
      <c r="H1" s="148"/>
      <c r="I1" s="147"/>
      <c r="J1" s="148"/>
      <c r="K1" s="147"/>
      <c r="L1" s="148"/>
      <c r="M1" s="147"/>
      <c r="N1" s="148"/>
      <c r="O1" s="147"/>
      <c r="P1" s="148"/>
    </row>
    <row r="2" spans="1:16" ht="15.75" customHeight="1">
      <c r="A2" s="151" t="s">
        <v>127</v>
      </c>
      <c r="B2" s="152"/>
      <c r="C2" s="152"/>
      <c r="D2" s="153"/>
      <c r="E2" s="152"/>
      <c r="F2" s="152"/>
      <c r="G2" s="152"/>
      <c r="H2" s="153"/>
      <c r="I2" s="152"/>
      <c r="J2" s="153"/>
      <c r="K2" s="152"/>
      <c r="L2" s="153"/>
      <c r="M2" s="152"/>
      <c r="N2" s="153"/>
      <c r="O2" s="152"/>
      <c r="P2" s="153"/>
    </row>
    <row r="3" ht="15.75" customHeight="1">
      <c r="A3" s="154" t="s">
        <v>2</v>
      </c>
    </row>
    <row r="4" spans="1:20" s="156" customFormat="1" ht="4.5" customHeight="1" thickBot="1">
      <c r="A4" s="155"/>
      <c r="D4" s="157"/>
      <c r="H4" s="157"/>
      <c r="J4" s="157"/>
      <c r="L4" s="157"/>
      <c r="N4" s="157"/>
      <c r="P4" s="157"/>
      <c r="T4" s="158"/>
    </row>
    <row r="5" spans="1:20" s="156" customFormat="1" ht="15.75" customHeight="1" thickBot="1" thickTop="1">
      <c r="A5" s="159" t="s">
        <v>3</v>
      </c>
      <c r="D5" s="157"/>
      <c r="E5" s="160" t="s">
        <v>4</v>
      </c>
      <c r="J5" s="157"/>
      <c r="L5" s="157"/>
      <c r="N5" s="157"/>
      <c r="P5" s="157"/>
      <c r="T5" s="158"/>
    </row>
    <row r="6" spans="1:20" s="156" customFormat="1" ht="15.75" customHeight="1" thickBot="1" thickTop="1">
      <c r="A6" s="159" t="s">
        <v>5</v>
      </c>
      <c r="D6" s="157"/>
      <c r="E6" s="160" t="s">
        <v>129</v>
      </c>
      <c r="H6" s="157"/>
      <c r="J6" s="157"/>
      <c r="L6" s="157"/>
      <c r="N6" s="157"/>
      <c r="P6" s="157"/>
      <c r="T6" s="158"/>
    </row>
    <row r="7" spans="1:20" s="156" customFormat="1" ht="15.75" customHeight="1" thickBot="1" thickTop="1">
      <c r="A7" s="159" t="s">
        <v>8</v>
      </c>
      <c r="D7" s="157"/>
      <c r="E7" s="160">
        <v>0</v>
      </c>
      <c r="H7" s="157"/>
      <c r="J7" s="157"/>
      <c r="L7" s="157"/>
      <c r="N7" s="157"/>
      <c r="P7" s="157"/>
      <c r="T7" s="158"/>
    </row>
    <row r="8" spans="1:15" ht="9.75" customHeight="1" thickTop="1">
      <c r="A8" s="161"/>
      <c r="B8" s="136"/>
      <c r="C8" s="136"/>
      <c r="E8" s="136"/>
      <c r="F8" s="136"/>
      <c r="G8" s="136"/>
      <c r="I8" s="136"/>
      <c r="K8" s="136"/>
      <c r="M8" s="136"/>
      <c r="O8" s="136"/>
    </row>
    <row r="9" spans="1:20" s="169" customFormat="1" ht="14.25" customHeight="1" thickBot="1">
      <c r="A9" s="162"/>
      <c r="B9" s="163"/>
      <c r="C9" s="163"/>
      <c r="D9" s="164"/>
      <c r="E9" s="165" t="s">
        <v>6</v>
      </c>
      <c r="F9" s="166"/>
      <c r="G9" s="166"/>
      <c r="H9" s="166"/>
      <c r="I9" s="165" t="s">
        <v>7</v>
      </c>
      <c r="J9" s="167"/>
      <c r="K9" s="166"/>
      <c r="L9" s="166"/>
      <c r="M9" s="165" t="s">
        <v>8</v>
      </c>
      <c r="N9" s="168"/>
      <c r="O9" s="168"/>
      <c r="P9" s="166"/>
      <c r="T9" s="170"/>
    </row>
    <row r="10" spans="1:20" s="156" customFormat="1" ht="15.75" customHeight="1" thickBot="1" thickTop="1">
      <c r="A10" s="159" t="s">
        <v>119</v>
      </c>
      <c r="B10" s="157"/>
      <c r="C10" s="157"/>
      <c r="D10" s="171"/>
      <c r="E10" s="160">
        <v>0</v>
      </c>
      <c r="F10" s="172"/>
      <c r="G10" s="172"/>
      <c r="H10" s="172"/>
      <c r="I10" s="160">
        <v>0</v>
      </c>
      <c r="J10" s="172"/>
      <c r="K10" s="172"/>
      <c r="L10" s="172"/>
      <c r="M10" s="160">
        <v>0</v>
      </c>
      <c r="N10" s="171"/>
      <c r="O10" s="171"/>
      <c r="P10" s="172"/>
      <c r="T10" s="158"/>
    </row>
    <row r="11" spans="1:20" s="156" customFormat="1" ht="15.75" customHeight="1" thickBot="1" thickTop="1">
      <c r="A11" s="159" t="s">
        <v>120</v>
      </c>
      <c r="B11" s="157"/>
      <c r="C11" s="157"/>
      <c r="D11" s="171"/>
      <c r="E11" s="160">
        <v>0</v>
      </c>
      <c r="F11" s="172"/>
      <c r="G11" s="172"/>
      <c r="H11" s="172"/>
      <c r="I11" s="160">
        <v>0</v>
      </c>
      <c r="J11" s="172"/>
      <c r="K11" s="172"/>
      <c r="L11" s="172"/>
      <c r="M11" s="160">
        <v>0</v>
      </c>
      <c r="N11" s="171"/>
      <c r="O11" s="171"/>
      <c r="P11" s="172"/>
      <c r="T11" s="158"/>
    </row>
    <row r="12" spans="1:20" s="156" customFormat="1" ht="15.75" customHeight="1" thickBot="1" thickTop="1">
      <c r="A12" s="159" t="s">
        <v>121</v>
      </c>
      <c r="B12" s="157"/>
      <c r="C12" s="157"/>
      <c r="D12" s="171"/>
      <c r="E12" s="160">
        <v>0</v>
      </c>
      <c r="F12" s="172"/>
      <c r="G12" s="172"/>
      <c r="H12" s="172"/>
      <c r="I12" s="160">
        <v>0</v>
      </c>
      <c r="J12" s="172"/>
      <c r="K12" s="172"/>
      <c r="L12" s="172"/>
      <c r="M12" s="160">
        <v>0</v>
      </c>
      <c r="N12" s="171"/>
      <c r="O12" s="171"/>
      <c r="P12" s="172"/>
      <c r="T12" s="158"/>
    </row>
    <row r="13" spans="1:20" s="156" customFormat="1" ht="15.75" customHeight="1" thickBot="1" thickTop="1">
      <c r="A13" s="159" t="s">
        <v>88</v>
      </c>
      <c r="B13" s="157"/>
      <c r="C13" s="157"/>
      <c r="D13" s="171"/>
      <c r="E13" s="160">
        <v>0</v>
      </c>
      <c r="F13" s="172"/>
      <c r="G13" s="172"/>
      <c r="H13" s="172"/>
      <c r="I13" s="160">
        <v>0</v>
      </c>
      <c r="J13" s="172"/>
      <c r="K13" s="172"/>
      <c r="L13" s="172"/>
      <c r="M13" s="160">
        <v>0</v>
      </c>
      <c r="N13" s="171"/>
      <c r="O13" s="171"/>
      <c r="P13" s="172"/>
      <c r="T13" s="158"/>
    </row>
    <row r="14" spans="1:20" s="156" customFormat="1" ht="15.75" customHeight="1" thickBot="1" thickTop="1">
      <c r="A14" s="159" t="s">
        <v>122</v>
      </c>
      <c r="B14" s="157"/>
      <c r="C14" s="157"/>
      <c r="D14" s="171"/>
      <c r="E14" s="160">
        <v>0</v>
      </c>
      <c r="F14" s="172"/>
      <c r="G14" s="172"/>
      <c r="H14" s="172"/>
      <c r="I14" s="160">
        <v>0</v>
      </c>
      <c r="J14" s="172"/>
      <c r="K14" s="172"/>
      <c r="L14" s="172"/>
      <c r="M14" s="160">
        <v>0</v>
      </c>
      <c r="N14" s="171"/>
      <c r="O14" s="171"/>
      <c r="P14" s="172"/>
      <c r="T14" s="158"/>
    </row>
    <row r="15" spans="1:20" s="156" customFormat="1" ht="15.75" customHeight="1" thickBot="1" thickTop="1">
      <c r="A15" s="159" t="s">
        <v>123</v>
      </c>
      <c r="B15" s="157"/>
      <c r="C15" s="157"/>
      <c r="D15" s="171"/>
      <c r="E15" s="160">
        <v>0</v>
      </c>
      <c r="F15" s="172"/>
      <c r="G15" s="172"/>
      <c r="H15" s="172"/>
      <c r="I15" s="160">
        <v>0</v>
      </c>
      <c r="J15" s="172"/>
      <c r="K15" s="172"/>
      <c r="L15" s="172"/>
      <c r="M15" s="160">
        <v>0</v>
      </c>
      <c r="N15" s="171"/>
      <c r="O15" s="171"/>
      <c r="P15" s="172"/>
      <c r="T15" s="158"/>
    </row>
    <row r="16" spans="1:20" s="169" customFormat="1" ht="22.5" customHeight="1" thickTop="1">
      <c r="A16" s="163"/>
      <c r="B16" s="163"/>
      <c r="C16" s="163"/>
      <c r="D16" s="163"/>
      <c r="E16" s="259" t="s">
        <v>6</v>
      </c>
      <c r="F16" s="259"/>
      <c r="G16" s="259"/>
      <c r="H16" s="166"/>
      <c r="I16" s="259" t="s">
        <v>7</v>
      </c>
      <c r="J16" s="259"/>
      <c r="K16" s="259"/>
      <c r="L16" s="166"/>
      <c r="M16" s="259" t="s">
        <v>8</v>
      </c>
      <c r="N16" s="259"/>
      <c r="O16" s="259"/>
      <c r="P16" s="166"/>
      <c r="T16" s="170"/>
    </row>
    <row r="17" spans="1:20" s="169" customFormat="1" ht="17.25" customHeight="1" thickBot="1">
      <c r="A17" s="173" t="s">
        <v>124</v>
      </c>
      <c r="B17" s="163"/>
      <c r="C17" s="163"/>
      <c r="D17" s="163"/>
      <c r="E17" s="165" t="s">
        <v>9</v>
      </c>
      <c r="F17" s="166"/>
      <c r="G17" s="165" t="s">
        <v>10</v>
      </c>
      <c r="H17" s="167"/>
      <c r="I17" s="165" t="s">
        <v>9</v>
      </c>
      <c r="J17" s="166"/>
      <c r="K17" s="165" t="s">
        <v>10</v>
      </c>
      <c r="L17" s="167"/>
      <c r="M17" s="165" t="s">
        <v>9</v>
      </c>
      <c r="N17" s="166"/>
      <c r="O17" s="165" t="s">
        <v>10</v>
      </c>
      <c r="P17" s="167"/>
      <c r="T17" s="170"/>
    </row>
    <row r="18" spans="1:20" s="169" customFormat="1" ht="15.75" customHeight="1" thickBot="1" thickTop="1">
      <c r="A18" s="163"/>
      <c r="B18" s="166" t="s">
        <v>11</v>
      </c>
      <c r="C18" s="163"/>
      <c r="D18" s="168"/>
      <c r="E18" s="160">
        <v>0</v>
      </c>
      <c r="F18" s="174"/>
      <c r="G18" s="160">
        <v>0</v>
      </c>
      <c r="H18" s="174"/>
      <c r="I18" s="160">
        <v>0</v>
      </c>
      <c r="J18" s="174"/>
      <c r="K18" s="160">
        <v>0</v>
      </c>
      <c r="L18" s="174"/>
      <c r="M18" s="160">
        <v>0</v>
      </c>
      <c r="N18" s="174"/>
      <c r="O18" s="160">
        <v>0</v>
      </c>
      <c r="P18" s="174"/>
      <c r="T18" s="170"/>
    </row>
    <row r="19" spans="1:20" s="169" customFormat="1" ht="15.75" customHeight="1" thickBot="1" thickTop="1">
      <c r="A19" s="163"/>
      <c r="B19" s="166" t="s">
        <v>89</v>
      </c>
      <c r="C19" s="163"/>
      <c r="D19" s="168"/>
      <c r="E19" s="160">
        <v>0</v>
      </c>
      <c r="F19" s="174"/>
      <c r="G19" s="160">
        <v>0</v>
      </c>
      <c r="H19" s="174"/>
      <c r="I19" s="160">
        <v>0</v>
      </c>
      <c r="J19" s="174"/>
      <c r="K19" s="160">
        <v>0</v>
      </c>
      <c r="L19" s="174"/>
      <c r="M19" s="160">
        <v>0</v>
      </c>
      <c r="N19" s="174"/>
      <c r="O19" s="160">
        <v>0</v>
      </c>
      <c r="P19" s="174"/>
      <c r="T19" s="170"/>
    </row>
    <row r="20" spans="1:20" s="169" customFormat="1" ht="15.75" customHeight="1" thickBot="1" thickTop="1">
      <c r="A20" s="163"/>
      <c r="B20" s="166" t="s">
        <v>90</v>
      </c>
      <c r="C20" s="163"/>
      <c r="D20" s="168"/>
      <c r="E20" s="160">
        <v>0</v>
      </c>
      <c r="F20" s="174"/>
      <c r="G20" s="160">
        <v>0</v>
      </c>
      <c r="H20" s="174"/>
      <c r="I20" s="160">
        <v>0</v>
      </c>
      <c r="J20" s="174"/>
      <c r="K20" s="160">
        <v>0</v>
      </c>
      <c r="L20" s="174"/>
      <c r="M20" s="160">
        <v>0</v>
      </c>
      <c r="N20" s="174"/>
      <c r="O20" s="160">
        <v>0</v>
      </c>
      <c r="P20" s="174"/>
      <c r="T20" s="170"/>
    </row>
    <row r="21" spans="1:20" s="169" customFormat="1" ht="4.5" customHeight="1" thickTop="1">
      <c r="A21" s="163"/>
      <c r="B21" s="163"/>
      <c r="C21" s="163"/>
      <c r="D21" s="163"/>
      <c r="E21" s="168"/>
      <c r="F21" s="163"/>
      <c r="G21" s="168"/>
      <c r="H21" s="168"/>
      <c r="I21" s="168"/>
      <c r="J21" s="168"/>
      <c r="K21" s="163"/>
      <c r="L21" s="168"/>
      <c r="M21" s="168"/>
      <c r="N21" s="168"/>
      <c r="O21" s="168"/>
      <c r="P21" s="168"/>
      <c r="T21" s="170"/>
    </row>
    <row r="22" spans="1:20" s="169" customFormat="1" ht="15.75" thickBot="1">
      <c r="A22" s="163"/>
      <c r="B22" s="163"/>
      <c r="C22" s="163"/>
      <c r="D22" s="163"/>
      <c r="E22" s="165" t="s">
        <v>6</v>
      </c>
      <c r="F22" s="166"/>
      <c r="G22" s="166"/>
      <c r="H22" s="166"/>
      <c r="I22" s="165" t="s">
        <v>7</v>
      </c>
      <c r="J22" s="166"/>
      <c r="K22" s="166"/>
      <c r="L22" s="166"/>
      <c r="M22" s="165" t="s">
        <v>8</v>
      </c>
      <c r="N22" s="166"/>
      <c r="O22" s="166"/>
      <c r="P22" s="166"/>
      <c r="T22" s="170"/>
    </row>
    <row r="23" spans="1:20" s="169" customFormat="1" ht="16.5" thickBot="1" thickTop="1">
      <c r="A23" s="175" t="s">
        <v>12</v>
      </c>
      <c r="B23" s="163"/>
      <c r="C23" s="163"/>
      <c r="D23" s="163"/>
      <c r="E23" s="160">
        <v>0</v>
      </c>
      <c r="F23" s="163"/>
      <c r="G23" s="163"/>
      <c r="H23" s="168"/>
      <c r="I23" s="160">
        <v>0</v>
      </c>
      <c r="J23" s="163"/>
      <c r="K23" s="163"/>
      <c r="L23" s="168"/>
      <c r="M23" s="160">
        <v>0</v>
      </c>
      <c r="N23" s="163"/>
      <c r="O23" s="163"/>
      <c r="P23" s="168"/>
      <c r="T23" s="170"/>
    </row>
    <row r="24" spans="1:20" s="169" customFormat="1" ht="15.75" hidden="1" thickBot="1" thickTop="1">
      <c r="A24" s="162" t="s">
        <v>61</v>
      </c>
      <c r="B24" s="163"/>
      <c r="C24" s="163"/>
      <c r="D24" s="163"/>
      <c r="E24" s="160" t="s">
        <v>4</v>
      </c>
      <c r="F24" s="163"/>
      <c r="G24" s="163"/>
      <c r="H24" s="168"/>
      <c r="I24" s="160" t="s">
        <v>129</v>
      </c>
      <c r="J24" s="163"/>
      <c r="K24" s="163"/>
      <c r="L24" s="168"/>
      <c r="M24" s="160" t="s">
        <v>129</v>
      </c>
      <c r="N24" s="163"/>
      <c r="O24" s="163"/>
      <c r="P24" s="168"/>
      <c r="S24" s="176"/>
      <c r="T24" s="170"/>
    </row>
    <row r="25" spans="1:17" ht="29.25" customHeight="1" hidden="1" thickTop="1">
      <c r="A25" s="161"/>
      <c r="B25" s="257" t="str">
        <f>"Based on an allowed amount of $5,000 per day for an average length stay of 3 days = $15,000 per stay, unless 'Yes' indicated for Severe Hospitalization which would result in a claim of greater than $"&amp;T24&amp;","&amp;U24&amp;"."</f>
        <v>Based on an allowed amount of $5,000 per day for an average length stay of 3 days = $15,000 per stay, unless 'Yes' indicated for Severe Hospitalization which would result in a claim of greater than $,.</v>
      </c>
      <c r="C25" s="258"/>
      <c r="D25" s="258"/>
      <c r="E25" s="258"/>
      <c r="F25" s="258"/>
      <c r="G25" s="258"/>
      <c r="H25" s="258"/>
      <c r="I25" s="258"/>
      <c r="J25" s="258"/>
      <c r="K25" s="258"/>
      <c r="L25" s="258"/>
      <c r="M25" s="258"/>
      <c r="N25" s="258"/>
      <c r="O25" s="258"/>
      <c r="P25" s="258"/>
      <c r="Q25" s="150"/>
    </row>
    <row r="26" spans="1:16" ht="8.25" customHeight="1" thickBot="1" thickTop="1">
      <c r="A26" s="178"/>
      <c r="B26" s="179"/>
      <c r="C26" s="179"/>
      <c r="D26" s="180"/>
      <c r="E26" s="180"/>
      <c r="F26" s="180"/>
      <c r="G26" s="179"/>
      <c r="H26" s="180"/>
      <c r="I26" s="180"/>
      <c r="J26" s="180"/>
      <c r="K26" s="179"/>
      <c r="L26" s="180"/>
      <c r="M26" s="180"/>
      <c r="N26" s="180"/>
      <c r="O26" s="180"/>
      <c r="P26" s="180"/>
    </row>
    <row r="27" spans="1:17" ht="16.5" customHeight="1" thickBot="1">
      <c r="A27" s="175"/>
      <c r="B27" s="177"/>
      <c r="C27" s="221"/>
      <c r="D27" s="221"/>
      <c r="E27" s="221"/>
      <c r="F27" s="221"/>
      <c r="G27" s="221"/>
      <c r="H27" s="221"/>
      <c r="I27" s="221"/>
      <c r="J27" s="221"/>
      <c r="K27" s="221"/>
      <c r="L27" s="221"/>
      <c r="M27" s="221"/>
      <c r="N27" s="221"/>
      <c r="O27" s="221"/>
      <c r="P27" s="221"/>
      <c r="Q27" s="150"/>
    </row>
    <row r="28" spans="1:17" ht="16.5" customHeight="1" thickBot="1" thickTop="1">
      <c r="A28" s="181" t="s">
        <v>108</v>
      </c>
      <c r="B28" s="177"/>
      <c r="C28" s="221"/>
      <c r="D28" s="221"/>
      <c r="E28" s="221"/>
      <c r="F28" s="221"/>
      <c r="G28" s="221"/>
      <c r="H28" s="221"/>
      <c r="I28" s="160" t="s">
        <v>4</v>
      </c>
      <c r="J28" s="221"/>
      <c r="K28" s="222" t="s">
        <v>110</v>
      </c>
      <c r="L28" s="221"/>
      <c r="M28" s="221"/>
      <c r="N28" s="221"/>
      <c r="O28" s="221"/>
      <c r="P28" s="221"/>
      <c r="Q28" s="150"/>
    </row>
    <row r="29" spans="1:17" ht="17.25" thickBot="1" thickTop="1">
      <c r="A29" s="181" t="s">
        <v>111</v>
      </c>
      <c r="B29" s="177"/>
      <c r="C29" s="221"/>
      <c r="D29" s="221"/>
      <c r="E29" s="221"/>
      <c r="F29" s="221"/>
      <c r="G29" s="221"/>
      <c r="H29" s="221"/>
      <c r="I29" s="182">
        <v>0</v>
      </c>
      <c r="J29" s="221"/>
      <c r="K29" s="221"/>
      <c r="L29" s="221"/>
      <c r="M29" s="221"/>
      <c r="N29" s="221"/>
      <c r="O29" s="221"/>
      <c r="P29" s="221"/>
      <c r="Q29" s="150"/>
    </row>
    <row r="30" spans="1:17" ht="17.25" thickBot="1" thickTop="1">
      <c r="A30" s="181" t="s">
        <v>112</v>
      </c>
      <c r="B30" s="177"/>
      <c r="C30" s="221"/>
      <c r="D30" s="221"/>
      <c r="E30" s="221"/>
      <c r="F30" s="221"/>
      <c r="G30" s="221"/>
      <c r="H30" s="221"/>
      <c r="I30" s="183">
        <f>IF($K$41&lt;0,CDHP!$Q$58+'Input Sheet'!$K$41,CDHP!$Q$58)</f>
        <v>0</v>
      </c>
      <c r="J30" s="221"/>
      <c r="K30" s="221"/>
      <c r="L30" s="221"/>
      <c r="M30" s="221"/>
      <c r="N30" s="221"/>
      <c r="O30" s="221"/>
      <c r="P30" s="221"/>
      <c r="Q30" s="150"/>
    </row>
    <row r="31" spans="1:17" ht="16.5" customHeight="1" thickBot="1" thickTop="1">
      <c r="A31" s="181" t="s">
        <v>132</v>
      </c>
      <c r="B31" s="177"/>
      <c r="C31" s="221"/>
      <c r="D31" s="221"/>
      <c r="E31" s="221"/>
      <c r="F31" s="221"/>
      <c r="G31" s="221"/>
      <c r="H31" s="221"/>
      <c r="I31" s="160" t="s">
        <v>4</v>
      </c>
      <c r="J31" s="221"/>
      <c r="K31" s="221"/>
      <c r="L31" s="221"/>
      <c r="M31" s="221"/>
      <c r="N31" s="221"/>
      <c r="O31" s="221"/>
      <c r="P31" s="221"/>
      <c r="Q31" s="150"/>
    </row>
    <row r="32" spans="1:17" ht="15.75" customHeight="1" thickTop="1">
      <c r="A32" s="181" t="s">
        <v>135</v>
      </c>
      <c r="B32" s="177"/>
      <c r="C32" s="221"/>
      <c r="D32" s="221"/>
      <c r="E32" s="221"/>
      <c r="F32" s="221"/>
      <c r="G32" s="221"/>
      <c r="H32" s="221"/>
      <c r="I32" s="183">
        <f>+PPO!F66</f>
        <v>1200</v>
      </c>
      <c r="J32" s="221"/>
      <c r="K32" s="222"/>
      <c r="L32" s="222"/>
      <c r="M32" s="222"/>
      <c r="N32" s="222"/>
      <c r="O32" s="222"/>
      <c r="P32" s="221"/>
      <c r="Q32" s="150"/>
    </row>
    <row r="33" spans="1:17" ht="15.75">
      <c r="A33" s="181" t="s">
        <v>136</v>
      </c>
      <c r="B33" s="177"/>
      <c r="C33" s="221"/>
      <c r="D33" s="221"/>
      <c r="E33" s="221"/>
      <c r="F33" s="221"/>
      <c r="G33" s="221"/>
      <c r="H33" s="221"/>
      <c r="I33" s="183">
        <f>+CDHP!F66</f>
        <v>2450</v>
      </c>
      <c r="J33" s="221"/>
      <c r="K33" s="221"/>
      <c r="L33" s="221"/>
      <c r="M33" s="221"/>
      <c r="N33" s="221"/>
      <c r="O33" s="221"/>
      <c r="P33" s="221"/>
      <c r="Q33" s="150"/>
    </row>
    <row r="34" spans="1:16" ht="8.25" customHeight="1" thickBot="1">
      <c r="A34" s="178"/>
      <c r="B34" s="179"/>
      <c r="C34" s="179"/>
      <c r="D34" s="180"/>
      <c r="E34" s="180"/>
      <c r="F34" s="180"/>
      <c r="G34" s="179"/>
      <c r="H34" s="180"/>
      <c r="I34" s="180"/>
      <c r="J34" s="180"/>
      <c r="K34" s="179"/>
      <c r="L34" s="180"/>
      <c r="M34" s="180"/>
      <c r="N34" s="180"/>
      <c r="O34" s="180"/>
      <c r="P34" s="180"/>
    </row>
    <row r="35" spans="1:20" s="187" customFormat="1" ht="18">
      <c r="A35" s="184" t="s">
        <v>13</v>
      </c>
      <c r="B35" s="185"/>
      <c r="C35" s="185"/>
      <c r="D35" s="185"/>
      <c r="E35" s="185"/>
      <c r="F35" s="185"/>
      <c r="G35" s="185"/>
      <c r="H35" s="185"/>
      <c r="I35" s="185"/>
      <c r="J35" s="185"/>
      <c r="K35" s="185"/>
      <c r="L35" s="185"/>
      <c r="M35" s="185"/>
      <c r="N35" s="185"/>
      <c r="O35" s="185"/>
      <c r="P35" s="185"/>
      <c r="Q35" s="186"/>
      <c r="T35" s="186"/>
    </row>
    <row r="36" spans="1:17" ht="3" customHeight="1">
      <c r="A36" s="136"/>
      <c r="B36" s="136"/>
      <c r="C36" s="136"/>
      <c r="E36" s="136"/>
      <c r="F36" s="136"/>
      <c r="G36" s="136"/>
      <c r="I36" s="136"/>
      <c r="K36" s="136"/>
      <c r="M36" s="136"/>
      <c r="O36" s="136"/>
      <c r="Q36" s="150"/>
    </row>
    <row r="37" spans="1:20" s="169" customFormat="1" ht="15">
      <c r="A37" s="163"/>
      <c r="B37" s="163" t="s">
        <v>102</v>
      </c>
      <c r="C37" s="163"/>
      <c r="D37" s="163"/>
      <c r="G37" s="165" t="s">
        <v>95</v>
      </c>
      <c r="H37" s="166"/>
      <c r="I37" s="167"/>
      <c r="J37" s="166"/>
      <c r="K37" s="165" t="s">
        <v>96</v>
      </c>
      <c r="L37" s="167"/>
      <c r="M37" s="167"/>
      <c r="N37" s="167"/>
      <c r="O37" s="167"/>
      <c r="P37" s="166"/>
      <c r="Q37" s="170"/>
      <c r="T37" s="170"/>
    </row>
    <row r="38" spans="1:20" s="156" customFormat="1" ht="12.75" customHeight="1">
      <c r="A38" s="188"/>
      <c r="B38" s="163" t="s">
        <v>101</v>
      </c>
      <c r="C38" s="157"/>
      <c r="D38" s="157"/>
      <c r="F38" s="189"/>
      <c r="G38" s="190">
        <v>300</v>
      </c>
      <c r="H38" s="189"/>
      <c r="I38" s="171"/>
      <c r="J38" s="191"/>
      <c r="K38" s="190">
        <v>1250</v>
      </c>
      <c r="L38" s="191"/>
      <c r="M38" s="171"/>
      <c r="N38" s="171"/>
      <c r="O38" s="171"/>
      <c r="P38" s="157"/>
      <c r="Q38" s="158"/>
      <c r="T38" s="158"/>
    </row>
    <row r="39" spans="1:17" ht="2.25" customHeight="1">
      <c r="A39" s="136"/>
      <c r="B39" s="136"/>
      <c r="C39" s="136"/>
      <c r="D39" s="192"/>
      <c r="G39" s="193"/>
      <c r="I39" s="193"/>
      <c r="J39" s="193"/>
      <c r="K39" s="193"/>
      <c r="L39" s="193"/>
      <c r="M39" s="193"/>
      <c r="N39" s="193"/>
      <c r="O39" s="193"/>
      <c r="Q39" s="150"/>
    </row>
    <row r="40" spans="1:20" s="169" customFormat="1" ht="18" customHeight="1">
      <c r="A40" s="215" t="s">
        <v>125</v>
      </c>
      <c r="B40" s="216"/>
      <c r="C40" s="216"/>
      <c r="D40" s="217"/>
      <c r="E40" s="218"/>
      <c r="F40" s="218"/>
      <c r="G40" s="219">
        <f>+PPO!$J$47</f>
        <v>0</v>
      </c>
      <c r="H40" s="216"/>
      <c r="I40" s="220"/>
      <c r="J40" s="220"/>
      <c r="K40" s="219">
        <f>+CDHP!I47</f>
        <v>0</v>
      </c>
      <c r="L40" s="195"/>
      <c r="M40" s="195"/>
      <c r="N40" s="195"/>
      <c r="O40" s="195"/>
      <c r="P40" s="163"/>
      <c r="Q40" s="170"/>
      <c r="T40" s="170"/>
    </row>
    <row r="41" spans="1:20" s="169" customFormat="1" ht="15.75" customHeight="1">
      <c r="A41" s="196" t="s">
        <v>109</v>
      </c>
      <c r="B41" s="197"/>
      <c r="C41" s="157"/>
      <c r="D41" s="168"/>
      <c r="G41" s="194">
        <f>IF(I28="Yes",-PPO!R64,0)</f>
        <v>0</v>
      </c>
      <c r="H41" s="163"/>
      <c r="I41" s="195"/>
      <c r="J41" s="195"/>
      <c r="K41" s="194">
        <f>IF(I28="Yes",-CDHP!R64,0)</f>
        <v>0</v>
      </c>
      <c r="L41" s="195"/>
      <c r="M41" s="195"/>
      <c r="N41" s="195"/>
      <c r="O41" s="195"/>
      <c r="P41" s="163"/>
      <c r="Q41" s="170"/>
      <c r="T41" s="170"/>
    </row>
    <row r="42" spans="1:20" s="169" customFormat="1" ht="15.75" customHeight="1">
      <c r="A42" s="196" t="s">
        <v>93</v>
      </c>
      <c r="B42" s="198"/>
      <c r="C42" s="189"/>
      <c r="D42" s="168"/>
      <c r="G42" s="226">
        <f>IF(I31="Yes",-PPO!R65,0)</f>
        <v>0</v>
      </c>
      <c r="H42" s="163"/>
      <c r="I42" s="195"/>
      <c r="J42" s="195"/>
      <c r="K42" s="199">
        <f>IF(I31="Yes",-CDHP!R65,0)</f>
        <v>0</v>
      </c>
      <c r="L42" s="195"/>
      <c r="M42" s="195"/>
      <c r="N42" s="195"/>
      <c r="O42" s="195"/>
      <c r="P42" s="163"/>
      <c r="Q42" s="170"/>
      <c r="T42" s="253"/>
    </row>
    <row r="43" spans="1:17" s="169" customFormat="1" ht="2.25" customHeight="1">
      <c r="A43" s="200"/>
      <c r="B43" s="163"/>
      <c r="C43" s="163"/>
      <c r="D43" s="168"/>
      <c r="G43" s="194"/>
      <c r="H43" s="163"/>
      <c r="I43" s="195"/>
      <c r="J43" s="195"/>
      <c r="K43" s="194"/>
      <c r="L43" s="195"/>
      <c r="M43" s="195"/>
      <c r="N43" s="195"/>
      <c r="O43" s="195"/>
      <c r="P43" s="163"/>
      <c r="Q43" s="170"/>
    </row>
    <row r="44" spans="1:20" s="169" customFormat="1" ht="14.25" customHeight="1">
      <c r="A44" s="162" t="s">
        <v>117</v>
      </c>
      <c r="B44" s="163"/>
      <c r="C44" s="163"/>
      <c r="D44" s="168"/>
      <c r="G44" s="194">
        <f>+PPO!R66</f>
        <v>0</v>
      </c>
      <c r="H44" s="163"/>
      <c r="I44" s="195"/>
      <c r="J44" s="195"/>
      <c r="K44" s="194">
        <f>+CDHP!R66</f>
        <v>0</v>
      </c>
      <c r="L44" s="195"/>
      <c r="M44" s="195"/>
      <c r="N44" s="195"/>
      <c r="O44" s="195"/>
      <c r="P44" s="163"/>
      <c r="Q44" s="170"/>
      <c r="T44" s="170"/>
    </row>
    <row r="45" spans="1:20" s="169" customFormat="1" ht="14.25" customHeight="1">
      <c r="A45" s="162" t="s">
        <v>118</v>
      </c>
      <c r="B45" s="163"/>
      <c r="C45" s="163"/>
      <c r="D45" s="168"/>
      <c r="G45" s="226">
        <f>160.96*12</f>
        <v>1931.52</v>
      </c>
      <c r="H45" s="163"/>
      <c r="I45" s="195"/>
      <c r="J45" s="195"/>
      <c r="K45" s="199">
        <f>+CDHP!I60*12</f>
        <v>0</v>
      </c>
      <c r="L45" s="195"/>
      <c r="M45" s="195"/>
      <c r="N45" s="195"/>
      <c r="O45" s="195"/>
      <c r="P45" s="163"/>
      <c r="Q45" s="170"/>
      <c r="T45" s="170"/>
    </row>
    <row r="46" spans="1:20" s="169" customFormat="1" ht="19.5" customHeight="1" thickBot="1">
      <c r="A46" s="175" t="s">
        <v>62</v>
      </c>
      <c r="B46" s="163"/>
      <c r="C46" s="163"/>
      <c r="D46" s="168"/>
      <c r="G46" s="201">
        <f>+G44+G45</f>
        <v>1931.52</v>
      </c>
      <c r="H46" s="163"/>
      <c r="I46" s="195"/>
      <c r="J46" s="195"/>
      <c r="K46" s="201">
        <f>+K44+K45</f>
        <v>0</v>
      </c>
      <c r="L46" s="195"/>
      <c r="M46" s="195"/>
      <c r="N46" s="195"/>
      <c r="O46" s="195"/>
      <c r="P46" s="163"/>
      <c r="Q46" s="170"/>
      <c r="T46" s="170"/>
    </row>
    <row r="47" spans="1:16" ht="8.25" customHeight="1" thickBot="1" thickTop="1">
      <c r="A47" s="178"/>
      <c r="B47" s="179"/>
      <c r="C47" s="179"/>
      <c r="D47" s="180"/>
      <c r="E47" s="180"/>
      <c r="F47" s="180"/>
      <c r="G47" s="179"/>
      <c r="H47" s="180"/>
      <c r="I47" s="180"/>
      <c r="J47" s="180"/>
      <c r="K47" s="179"/>
      <c r="L47" s="180"/>
      <c r="M47" s="180"/>
      <c r="N47" s="180"/>
      <c r="O47" s="180"/>
      <c r="P47" s="180"/>
    </row>
    <row r="48" spans="1:20" s="187" customFormat="1" ht="18">
      <c r="A48" s="202" t="s">
        <v>130</v>
      </c>
      <c r="B48" s="203"/>
      <c r="C48" s="203"/>
      <c r="D48" s="203"/>
      <c r="E48" s="203"/>
      <c r="F48" s="203"/>
      <c r="G48" s="203"/>
      <c r="H48" s="203"/>
      <c r="I48" s="203"/>
      <c r="J48" s="203"/>
      <c r="K48" s="203"/>
      <c r="L48" s="203"/>
      <c r="M48" s="203"/>
      <c r="N48" s="203"/>
      <c r="O48" s="203"/>
      <c r="P48" s="203"/>
      <c r="Q48" s="186"/>
      <c r="T48" s="186"/>
    </row>
    <row r="49" spans="1:17" ht="3" customHeight="1">
      <c r="A49" s="136"/>
      <c r="B49" s="136"/>
      <c r="C49" s="136"/>
      <c r="E49" s="136"/>
      <c r="F49" s="136"/>
      <c r="G49" s="136"/>
      <c r="I49" s="136"/>
      <c r="K49" s="136"/>
      <c r="M49" s="136"/>
      <c r="O49" s="136"/>
      <c r="Q49" s="150"/>
    </row>
    <row r="50" spans="1:20" s="169" customFormat="1" ht="15">
      <c r="A50" s="163"/>
      <c r="B50" s="163" t="s">
        <v>102</v>
      </c>
      <c r="C50" s="163"/>
      <c r="D50" s="163"/>
      <c r="G50" s="165" t="str">
        <f>+G37</f>
        <v>PPO Plan</v>
      </c>
      <c r="H50" s="166"/>
      <c r="I50" s="167"/>
      <c r="J50" s="166"/>
      <c r="K50" s="165" t="str">
        <f>+K37</f>
        <v>CDHP Plan</v>
      </c>
      <c r="L50" s="167"/>
      <c r="M50" s="167"/>
      <c r="N50" s="167"/>
      <c r="O50" s="167"/>
      <c r="P50" s="166"/>
      <c r="Q50" s="170"/>
      <c r="T50" s="170"/>
    </row>
    <row r="51" spans="1:20" s="156" customFormat="1" ht="12.75" customHeight="1">
      <c r="A51" s="188"/>
      <c r="B51" s="163" t="s">
        <v>101</v>
      </c>
      <c r="C51" s="157"/>
      <c r="D51" s="157"/>
      <c r="F51" s="189"/>
      <c r="G51" s="190">
        <f>+G38</f>
        <v>300</v>
      </c>
      <c r="H51" s="189"/>
      <c r="I51" s="171"/>
      <c r="J51" s="191"/>
      <c r="K51" s="190">
        <f>+K38</f>
        <v>1250</v>
      </c>
      <c r="L51" s="191"/>
      <c r="M51" s="171"/>
      <c r="N51" s="171"/>
      <c r="O51" s="171"/>
      <c r="P51" s="157"/>
      <c r="Q51" s="158"/>
      <c r="T51" s="158"/>
    </row>
    <row r="52" spans="1:20" s="169" customFormat="1" ht="19.5" customHeight="1" thickBot="1">
      <c r="A52" s="175" t="str">
        <f>IF(PPO!I59&gt;1,"Remaining Family Liability","Remaining Employee Liability")</f>
        <v>Remaining Employee Liability</v>
      </c>
      <c r="B52" s="163"/>
      <c r="C52" s="163"/>
      <c r="D52" s="168"/>
      <c r="G52" s="204">
        <f>+PPO!Q56</f>
        <v>1300</v>
      </c>
      <c r="H52" s="168"/>
      <c r="I52" s="195"/>
      <c r="J52" s="168"/>
      <c r="K52" s="204">
        <f>+CDHP!Q56</f>
        <v>3300</v>
      </c>
      <c r="L52" s="195"/>
      <c r="M52" s="195"/>
      <c r="N52" s="195"/>
      <c r="O52" s="195"/>
      <c r="P52" s="168"/>
      <c r="Q52" s="170"/>
      <c r="T52" s="170"/>
    </row>
    <row r="53" spans="1:16" ht="8.25" customHeight="1" thickBot="1" thickTop="1">
      <c r="A53" s="178"/>
      <c r="B53" s="179"/>
      <c r="C53" s="179"/>
      <c r="D53" s="180"/>
      <c r="E53" s="180"/>
      <c r="F53" s="180"/>
      <c r="G53" s="179"/>
      <c r="H53" s="180"/>
      <c r="I53" s="180"/>
      <c r="J53" s="180"/>
      <c r="K53" s="179"/>
      <c r="L53" s="180"/>
      <c r="M53" s="180"/>
      <c r="N53" s="180"/>
      <c r="O53" s="180"/>
      <c r="P53" s="180"/>
    </row>
    <row r="54" spans="1:20" s="169" customFormat="1" ht="23.25" customHeight="1">
      <c r="A54" s="255" t="s">
        <v>128</v>
      </c>
      <c r="B54" s="256"/>
      <c r="C54" s="256"/>
      <c r="D54" s="256"/>
      <c r="E54" s="256"/>
      <c r="F54" s="256"/>
      <c r="G54" s="256"/>
      <c r="H54" s="256"/>
      <c r="I54" s="256"/>
      <c r="J54" s="256"/>
      <c r="K54" s="256"/>
      <c r="L54" s="256"/>
      <c r="M54" s="256"/>
      <c r="N54" s="256"/>
      <c r="O54" s="256"/>
      <c r="P54" s="256"/>
      <c r="Q54" s="170"/>
      <c r="T54" s="170"/>
    </row>
    <row r="55" spans="1:20" s="169" customFormat="1" ht="12.75" customHeight="1">
      <c r="A55" s="155" t="s">
        <v>97</v>
      </c>
      <c r="B55" s="156"/>
      <c r="C55" s="156"/>
      <c r="D55" s="157"/>
      <c r="E55" s="156"/>
      <c r="F55" s="156"/>
      <c r="G55" s="156"/>
      <c r="H55" s="157"/>
      <c r="I55" s="156"/>
      <c r="J55" s="157"/>
      <c r="K55" s="156"/>
      <c r="L55" s="157"/>
      <c r="M55" s="156"/>
      <c r="N55" s="157"/>
      <c r="O55" s="156"/>
      <c r="P55" s="157"/>
      <c r="Q55" s="170"/>
      <c r="T55" s="170"/>
    </row>
    <row r="56" spans="1:20" s="169" customFormat="1" ht="12.75" customHeight="1">
      <c r="A56" s="205" t="s">
        <v>98</v>
      </c>
      <c r="B56" s="156"/>
      <c r="C56" s="156"/>
      <c r="D56" s="157"/>
      <c r="E56" s="156"/>
      <c r="F56" s="156"/>
      <c r="G56" s="156"/>
      <c r="H56" s="157"/>
      <c r="I56" s="156"/>
      <c r="J56" s="157"/>
      <c r="K56" s="156"/>
      <c r="L56" s="157"/>
      <c r="M56" s="156"/>
      <c r="N56" s="157"/>
      <c r="O56" s="156"/>
      <c r="P56" s="157"/>
      <c r="Q56" s="170"/>
      <c r="T56" s="170"/>
    </row>
    <row r="57" spans="1:20" s="169" customFormat="1" ht="12.75" customHeight="1">
      <c r="A57" s="155" t="s">
        <v>104</v>
      </c>
      <c r="B57" s="156"/>
      <c r="C57" s="156"/>
      <c r="D57" s="157"/>
      <c r="E57" s="156"/>
      <c r="F57" s="156"/>
      <c r="G57" s="156"/>
      <c r="H57" s="157"/>
      <c r="I57" s="156"/>
      <c r="J57" s="157"/>
      <c r="K57" s="156"/>
      <c r="L57" s="157"/>
      <c r="M57" s="156"/>
      <c r="N57" s="157"/>
      <c r="O57" s="156"/>
      <c r="P57" s="157"/>
      <c r="Q57" s="170"/>
      <c r="T57" s="170"/>
    </row>
    <row r="58" spans="1:20" s="169" customFormat="1" ht="12.75" customHeight="1">
      <c r="A58" s="155" t="s">
        <v>87</v>
      </c>
      <c r="B58" s="156"/>
      <c r="C58" s="156"/>
      <c r="D58" s="157"/>
      <c r="E58" s="156"/>
      <c r="F58" s="156"/>
      <c r="G58" s="156"/>
      <c r="H58" s="157"/>
      <c r="I58" s="156"/>
      <c r="J58" s="157"/>
      <c r="K58" s="156"/>
      <c r="L58" s="157"/>
      <c r="M58" s="156"/>
      <c r="N58" s="157"/>
      <c r="O58" s="156"/>
      <c r="P58" s="157"/>
      <c r="Q58" s="170"/>
      <c r="T58" s="170"/>
    </row>
    <row r="59" spans="1:20" s="169" customFormat="1" ht="12.75" customHeight="1">
      <c r="A59" s="155" t="s">
        <v>99</v>
      </c>
      <c r="B59" s="156"/>
      <c r="C59" s="156"/>
      <c r="D59" s="157"/>
      <c r="E59" s="156"/>
      <c r="F59" s="156"/>
      <c r="G59" s="156"/>
      <c r="H59" s="157"/>
      <c r="I59" s="156"/>
      <c r="J59" s="157"/>
      <c r="K59" s="156"/>
      <c r="L59" s="157"/>
      <c r="M59" s="156"/>
      <c r="N59" s="157"/>
      <c r="O59" s="156"/>
      <c r="P59" s="157"/>
      <c r="T59" s="170"/>
    </row>
    <row r="60" spans="1:20" s="169" customFormat="1" ht="12.75" customHeight="1">
      <c r="A60" s="205" t="s">
        <v>100</v>
      </c>
      <c r="B60" s="156"/>
      <c r="C60" s="156"/>
      <c r="D60" s="157"/>
      <c r="E60" s="156"/>
      <c r="F60" s="156"/>
      <c r="G60" s="156"/>
      <c r="H60" s="157"/>
      <c r="I60" s="156"/>
      <c r="J60" s="157"/>
      <c r="K60" s="156"/>
      <c r="L60" s="157"/>
      <c r="M60" s="156"/>
      <c r="N60" s="157"/>
      <c r="O60" s="156"/>
      <c r="P60" s="157"/>
      <c r="T60" s="170"/>
    </row>
    <row r="61" spans="1:20" s="169" customFormat="1" ht="12.75" customHeight="1">
      <c r="A61" s="155" t="s">
        <v>86</v>
      </c>
      <c r="B61" s="156"/>
      <c r="C61" s="156"/>
      <c r="D61" s="157"/>
      <c r="E61" s="156"/>
      <c r="F61" s="156"/>
      <c r="G61" s="156"/>
      <c r="H61" s="157"/>
      <c r="I61" s="156"/>
      <c r="J61" s="157"/>
      <c r="K61" s="156"/>
      <c r="L61" s="157"/>
      <c r="M61" s="156"/>
      <c r="N61" s="157"/>
      <c r="O61" s="156"/>
      <c r="P61" s="157"/>
      <c r="T61" s="170"/>
    </row>
    <row r="62" spans="1:20" s="169" customFormat="1" ht="12.75" customHeight="1">
      <c r="A62" s="205" t="s">
        <v>15</v>
      </c>
      <c r="B62" s="156"/>
      <c r="C62" s="156"/>
      <c r="D62" s="157"/>
      <c r="E62" s="156"/>
      <c r="F62" s="156"/>
      <c r="G62" s="156"/>
      <c r="H62" s="157"/>
      <c r="I62" s="156"/>
      <c r="J62" s="157"/>
      <c r="K62" s="156"/>
      <c r="L62" s="157"/>
      <c r="M62" s="156"/>
      <c r="N62" s="157"/>
      <c r="O62" s="156"/>
      <c r="P62" s="157"/>
      <c r="T62" s="170"/>
    </row>
    <row r="63" spans="1:20" s="169" customFormat="1" ht="12.75" customHeight="1">
      <c r="A63" s="227" t="s">
        <v>133</v>
      </c>
      <c r="B63" s="228"/>
      <c r="C63" s="228"/>
      <c r="D63" s="229"/>
      <c r="E63" s="230"/>
      <c r="F63" s="228"/>
      <c r="G63" s="230"/>
      <c r="H63" s="231"/>
      <c r="I63" s="228"/>
      <c r="J63" s="229"/>
      <c r="K63" s="232"/>
      <c r="L63" s="233"/>
      <c r="M63" s="232"/>
      <c r="N63" s="231"/>
      <c r="O63" s="230"/>
      <c r="P63" s="206"/>
      <c r="T63" s="170"/>
    </row>
    <row r="64" spans="1:20" s="169" customFormat="1" ht="12.75" customHeight="1">
      <c r="A64" s="234" t="s">
        <v>107</v>
      </c>
      <c r="B64" s="228"/>
      <c r="C64" s="228"/>
      <c r="D64" s="229"/>
      <c r="E64" s="230"/>
      <c r="F64" s="228"/>
      <c r="G64" s="230"/>
      <c r="H64" s="231"/>
      <c r="I64" s="228"/>
      <c r="J64" s="229"/>
      <c r="K64" s="232"/>
      <c r="L64" s="233"/>
      <c r="M64" s="232"/>
      <c r="N64" s="231"/>
      <c r="O64" s="230"/>
      <c r="P64" s="206"/>
      <c r="T64" s="170"/>
    </row>
    <row r="65" spans="1:15" ht="5.25" customHeight="1">
      <c r="A65" s="154"/>
      <c r="D65" s="139"/>
      <c r="K65" s="207"/>
      <c r="M65" s="138"/>
      <c r="N65" s="139"/>
      <c r="O65" s="138"/>
    </row>
    <row r="66" spans="1:20" s="169" customFormat="1" ht="12" customHeight="1">
      <c r="A66" s="208" t="s">
        <v>16</v>
      </c>
      <c r="D66" s="163"/>
      <c r="H66" s="163"/>
      <c r="J66" s="163"/>
      <c r="K66" s="209"/>
      <c r="L66" s="163"/>
      <c r="M66" s="210"/>
      <c r="N66" s="211"/>
      <c r="O66" s="210"/>
      <c r="P66" s="163"/>
      <c r="T66" s="170"/>
    </row>
    <row r="67" spans="1:20" s="169" customFormat="1" ht="12.75" customHeight="1">
      <c r="A67" s="208" t="s">
        <v>83</v>
      </c>
      <c r="D67" s="163"/>
      <c r="H67" s="163"/>
      <c r="J67" s="163"/>
      <c r="K67" s="209"/>
      <c r="L67" s="163"/>
      <c r="M67" s="210"/>
      <c r="N67" s="211"/>
      <c r="O67" s="210"/>
      <c r="P67" s="163"/>
      <c r="T67" s="170"/>
    </row>
    <row r="68" spans="1:20" s="169" customFormat="1" ht="12" customHeight="1">
      <c r="A68" s="208" t="s">
        <v>82</v>
      </c>
      <c r="D68" s="163"/>
      <c r="H68" s="163"/>
      <c r="J68" s="163"/>
      <c r="K68" s="209"/>
      <c r="L68" s="163"/>
      <c r="M68" s="210"/>
      <c r="N68" s="211"/>
      <c r="O68" s="210"/>
      <c r="P68" s="163"/>
      <c r="T68" s="170"/>
    </row>
    <row r="69" spans="1:20" s="169" customFormat="1" ht="6.75" customHeight="1">
      <c r="A69" s="155"/>
      <c r="D69" s="163"/>
      <c r="H69" s="163"/>
      <c r="J69" s="163"/>
      <c r="K69" s="209"/>
      <c r="L69" s="163"/>
      <c r="M69" s="210"/>
      <c r="N69" s="211"/>
      <c r="O69" s="210"/>
      <c r="P69" s="163"/>
      <c r="T69" s="170"/>
    </row>
    <row r="70" spans="4:16" ht="15">
      <c r="D70" s="139"/>
      <c r="G70" s="138"/>
      <c r="H70" s="139"/>
      <c r="I70" s="137"/>
      <c r="K70" s="207"/>
      <c r="M70" s="138"/>
      <c r="N70" s="139"/>
      <c r="O70" s="212"/>
      <c r="P70" s="213">
        <v>2011</v>
      </c>
    </row>
    <row r="79" ht="3" customHeight="1">
      <c r="A79" s="223" t="s">
        <v>131</v>
      </c>
    </row>
  </sheetData>
  <sheetProtection password="8DC7" sheet="1" selectLockedCells="1"/>
  <protectedRanges>
    <protectedRange password="83AF" sqref="I23:I24 E23:E24 M23:M24 E5:E7 G18:G20 I18:I20 K18:K20 M18:M20 E18:E20 O18:O20 E10:E15 M10:M15 I10:I15 I28:I29 I31" name="Range1"/>
  </protectedRanges>
  <mergeCells count="5">
    <mergeCell ref="A54:P54"/>
    <mergeCell ref="B25:P25"/>
    <mergeCell ref="E16:G16"/>
    <mergeCell ref="I16:K16"/>
    <mergeCell ref="M16:O16"/>
  </mergeCells>
  <dataValidations count="6">
    <dataValidation type="list" allowBlank="1" showInputMessage="1" showErrorMessage="1" error="You may only choose &quot;Yes&quot; or &quot;No&quot;" sqref="M24 I31 I28 E24 I24 E6">
      <formula1>"Yes, No"</formula1>
    </dataValidation>
    <dataValidation type="whole" operator="greaterThanOrEqual" allowBlank="1" showInputMessage="1" showErrorMessage="1" sqref="I23 E10:E15 M10:M15 I10:I15 M18:M20 M23 O18:O20 E18:E20 G18:G20 E23 I18:I20 K18:K20">
      <formula1>0</formula1>
    </dataValidation>
    <dataValidation allowBlank="1" showInputMessage="1" showErrorMessage="1" error="You may only select 1 to 9 dependents." sqref="E8"/>
    <dataValidation type="list" allowBlank="1" showDropDown="1" showInputMessage="1" showErrorMessage="1" error="You may not select a different option." sqref="E5">
      <formula1>"Yes"</formula1>
    </dataValidation>
    <dataValidation type="list" allowBlank="1" showInputMessage="1" showErrorMessage="1" error="You may only select 0 to 9 dependents." sqref="E7">
      <formula1>"0,1,2,3,4,5,6,7,8,9"</formula1>
    </dataValidation>
    <dataValidation type="whole" operator="lessThan" allowBlank="1" showInputMessage="1" showErrorMessage="1" sqref="I29">
      <formula1>3051</formula1>
    </dataValidation>
  </dataValidations>
  <printOptions horizontalCentered="1"/>
  <pageMargins left="0.25" right="0.25" top="0.25" bottom="0.5" header="0.25" footer="0.25"/>
  <pageSetup fitToHeight="1" fitToWidth="1" horizontalDpi="600" verticalDpi="600" orientation="landscape" scale="61" r:id="rId3"/>
  <headerFooter alignWithMargins="0">
    <oddFooter>&amp;C&amp;D</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Y75"/>
  <sheetViews>
    <sheetView zoomScale="110" zoomScaleNormal="110" zoomScalePageLayoutView="0" workbookViewId="0" topLeftCell="A36">
      <selection activeCell="Q58" sqref="Q58"/>
    </sheetView>
  </sheetViews>
  <sheetFormatPr defaultColWidth="8.00390625" defaultRowHeight="12.75"/>
  <cols>
    <col min="1" max="1" width="2.140625" style="2" customWidth="1"/>
    <col min="2" max="2" width="22.8515625" style="2" customWidth="1"/>
    <col min="3" max="3" width="8.00390625" style="2" customWidth="1"/>
    <col min="4" max="6" width="9.28125" style="3" customWidth="1"/>
    <col min="7" max="7" width="9.421875" style="2" customWidth="1"/>
    <col min="8" max="8" width="8.140625" style="2" bestFit="1" customWidth="1"/>
    <col min="9" max="9" width="10.57421875" style="2" customWidth="1"/>
    <col min="10" max="10" width="10.421875" style="2" customWidth="1"/>
    <col min="11" max="11" width="8.00390625" style="2" customWidth="1"/>
    <col min="12" max="12" width="9.00390625" style="2" bestFit="1" customWidth="1"/>
    <col min="13" max="13" width="8.140625" style="2" bestFit="1" customWidth="1"/>
    <col min="14" max="14" width="9.00390625" style="2" bestFit="1" customWidth="1"/>
    <col min="15" max="15" width="8.421875" style="2" bestFit="1" customWidth="1"/>
    <col min="16" max="16" width="8.8515625" style="2" customWidth="1"/>
    <col min="17" max="17" width="11.140625" style="2" bestFit="1" customWidth="1"/>
    <col min="18" max="18" width="8.7109375" style="2" customWidth="1"/>
    <col min="19" max="19" width="9.140625" style="2" bestFit="1" customWidth="1"/>
    <col min="20" max="20" width="8.140625" style="2" bestFit="1" customWidth="1"/>
    <col min="21" max="21" width="2.57421875" style="2" customWidth="1"/>
    <col min="22" max="22" width="9.00390625" style="2" customWidth="1"/>
    <col min="23" max="23" width="8.140625" style="2" bestFit="1" customWidth="1"/>
    <col min="24" max="16384" width="8.00390625" style="2" customWidth="1"/>
  </cols>
  <sheetData>
    <row r="1" ht="18.75">
      <c r="B1" s="1" t="s">
        <v>67</v>
      </c>
    </row>
    <row r="2" ht="12.75"/>
    <row r="3" ht="12.75"/>
    <row r="4" spans="12:13" ht="13.5" thickBot="1">
      <c r="L4" s="4" t="s">
        <v>17</v>
      </c>
      <c r="M4" s="4"/>
    </row>
    <row r="5" spans="2:4" ht="15.75" customHeight="1" thickTop="1">
      <c r="B5" s="2" t="s">
        <v>6</v>
      </c>
      <c r="D5" s="5" t="str">
        <f>+'Input Sheet'!E5</f>
        <v>Yes</v>
      </c>
    </row>
    <row r="6" spans="2:8" ht="15.75" customHeight="1">
      <c r="B6" s="2" t="s">
        <v>7</v>
      </c>
      <c r="D6" s="6" t="str">
        <f>+'Input Sheet'!E6</f>
        <v>No</v>
      </c>
      <c r="F6" s="7"/>
      <c r="G6" s="7"/>
      <c r="H6" s="7"/>
    </row>
    <row r="7" spans="2:8" ht="15.75" customHeight="1" thickBot="1">
      <c r="B7" s="2" t="s">
        <v>18</v>
      </c>
      <c r="D7" s="8">
        <f>+'Input Sheet'!E7</f>
        <v>0</v>
      </c>
      <c r="F7" s="7"/>
      <c r="G7" s="7"/>
      <c r="H7" s="7"/>
    </row>
    <row r="8" ht="13.5" thickTop="1">
      <c r="P8" s="3" t="s">
        <v>84</v>
      </c>
    </row>
    <row r="9" spans="6:16" ht="12.75">
      <c r="F9" s="92"/>
      <c r="H9" s="88" t="s">
        <v>84</v>
      </c>
      <c r="L9" s="3" t="s">
        <v>19</v>
      </c>
      <c r="M9" s="3" t="s">
        <v>20</v>
      </c>
      <c r="P9" s="132" t="s">
        <v>64</v>
      </c>
    </row>
    <row r="10" spans="2:19" ht="13.5" thickBot="1">
      <c r="B10" s="9" t="s">
        <v>21</v>
      </c>
      <c r="D10" s="3" t="s">
        <v>19</v>
      </c>
      <c r="E10" s="3" t="s">
        <v>20</v>
      </c>
      <c r="F10" s="88" t="s">
        <v>103</v>
      </c>
      <c r="G10" s="3" t="s">
        <v>64</v>
      </c>
      <c r="H10" s="3" t="s">
        <v>64</v>
      </c>
      <c r="J10" s="126" t="s">
        <v>85</v>
      </c>
      <c r="L10" s="10" t="s">
        <v>22</v>
      </c>
      <c r="N10" s="126" t="s">
        <v>103</v>
      </c>
      <c r="O10" s="91" t="s">
        <v>64</v>
      </c>
      <c r="R10" s="3" t="s">
        <v>138</v>
      </c>
      <c r="S10" s="3" t="s">
        <v>139</v>
      </c>
    </row>
    <row r="11" spans="3:22" ht="13.5" thickTop="1">
      <c r="C11" s="2" t="s">
        <v>6</v>
      </c>
      <c r="D11" s="5">
        <f>+'Input Sheet'!$E$10</f>
        <v>0</v>
      </c>
      <c r="E11" s="5">
        <f>+'Input Sheet'!$E$11</f>
        <v>0</v>
      </c>
      <c r="F11" s="5">
        <f>+'Input Sheet'!$E$12</f>
        <v>0</v>
      </c>
      <c r="G11" s="5">
        <f>+'Input Sheet'!$E$13</f>
        <v>0</v>
      </c>
      <c r="H11" s="5">
        <f>+'Input Sheet'!$E$14</f>
        <v>0</v>
      </c>
      <c r="J11" s="5">
        <f>SUM(D11:F11)</f>
        <v>0</v>
      </c>
      <c r="L11" s="11">
        <v>0</v>
      </c>
      <c r="M11" s="11">
        <v>20</v>
      </c>
      <c r="N11" s="11">
        <v>20</v>
      </c>
      <c r="O11" s="22">
        <v>0</v>
      </c>
      <c r="P11" s="11">
        <v>1500</v>
      </c>
      <c r="Q11" s="2" t="s">
        <v>6</v>
      </c>
      <c r="R11" s="12">
        <f>IF(D5="yes",SUMPRODUCT(D11:F11,$L$11:$N$11),0)</f>
        <v>0</v>
      </c>
      <c r="S11" s="12">
        <f>IF(D5="yes",SUMPRODUCT(G11:H11,$O$11:$P$11),0)</f>
        <v>0</v>
      </c>
      <c r="V11" s="12">
        <f>SUM(R11:S11)</f>
        <v>0</v>
      </c>
    </row>
    <row r="12" spans="2:23" ht="13.5" thickBot="1">
      <c r="B12" s="9"/>
      <c r="C12" s="2" t="s">
        <v>23</v>
      </c>
      <c r="D12" s="6">
        <f>+'Input Sheet'!$I$10</f>
        <v>0</v>
      </c>
      <c r="E12" s="6">
        <f>+'Input Sheet'!$I$11</f>
        <v>0</v>
      </c>
      <c r="F12" s="6">
        <f>+'Input Sheet'!$I$12</f>
        <v>0</v>
      </c>
      <c r="G12" s="6">
        <f>+'Input Sheet'!$I$13</f>
        <v>0</v>
      </c>
      <c r="H12" s="6">
        <f>+'Input Sheet'!$I$14</f>
        <v>0</v>
      </c>
      <c r="J12" s="6">
        <f>SUM(D12:F12)</f>
        <v>0</v>
      </c>
      <c r="L12" s="9"/>
      <c r="M12" s="9"/>
      <c r="N12" s="9"/>
      <c r="Q12" s="2" t="s">
        <v>23</v>
      </c>
      <c r="R12" s="14">
        <f>IF(D6="yes",SUMPRODUCT(D12:F12,$L$11:$N$11),0)</f>
        <v>0</v>
      </c>
      <c r="S12" s="14">
        <f>IF(D6="yes",SUMPRODUCT(G12:H12,$O$11:$P$11),0)</f>
        <v>0</v>
      </c>
      <c r="V12" s="14">
        <f>SUM(R12:S12)</f>
        <v>0</v>
      </c>
      <c r="W12" s="3" t="s">
        <v>24</v>
      </c>
    </row>
    <row r="13" spans="2:23" ht="13.5" thickBot="1">
      <c r="B13" s="9"/>
      <c r="C13" s="2" t="s">
        <v>25</v>
      </c>
      <c r="D13" s="8">
        <f>+'Input Sheet'!$M$10</f>
        <v>0</v>
      </c>
      <c r="E13" s="8">
        <f>+'Input Sheet'!$M$11</f>
        <v>0</v>
      </c>
      <c r="F13" s="8">
        <f>+'Input Sheet'!$M$12</f>
        <v>0</v>
      </c>
      <c r="G13" s="8">
        <f>+'Input Sheet'!$M$13</f>
        <v>0</v>
      </c>
      <c r="H13" s="8">
        <f>+'Input Sheet'!$M$14</f>
        <v>0</v>
      </c>
      <c r="J13" s="8">
        <f>SUM(D13:F13)</f>
        <v>0</v>
      </c>
      <c r="L13" s="9"/>
      <c r="M13" s="9"/>
      <c r="N13" s="15"/>
      <c r="Q13" s="2" t="s">
        <v>25</v>
      </c>
      <c r="R13" s="16">
        <f>IF(D7&gt;0,SUMPRODUCT(D13:F13,$L$11:$N$11),0)</f>
        <v>0</v>
      </c>
      <c r="S13" s="16">
        <f>IF(D7&gt;0,SUMPRODUCT(G13:H13,$O$11:$P$11),0)</f>
        <v>0</v>
      </c>
      <c r="V13" s="16">
        <f>SUM(R13:S13)</f>
        <v>0</v>
      </c>
      <c r="W13" s="17">
        <f>SUM(V11:V13)</f>
        <v>0</v>
      </c>
    </row>
    <row r="14" spans="11:18" ht="6" customHeight="1" thickTop="1">
      <c r="K14" s="9"/>
      <c r="L14" s="9"/>
      <c r="M14" s="9"/>
      <c r="N14" s="9"/>
      <c r="O14" s="9"/>
      <c r="P14" s="9"/>
      <c r="R14" s="9"/>
    </row>
    <row r="15" spans="2:18" ht="13.5" customHeight="1" thickBot="1">
      <c r="B15" s="9" t="s">
        <v>12</v>
      </c>
      <c r="J15" s="9"/>
      <c r="K15" s="9"/>
      <c r="R15" s="9"/>
    </row>
    <row r="16" spans="3:22" ht="13.5" thickTop="1">
      <c r="C16" s="2" t="s">
        <v>6</v>
      </c>
      <c r="D16" s="5">
        <f>+'Input Sheet'!E23</f>
        <v>0</v>
      </c>
      <c r="J16" s="9"/>
      <c r="K16" s="9"/>
      <c r="L16" s="18" t="s">
        <v>105</v>
      </c>
      <c r="M16" s="9"/>
      <c r="N16" s="9"/>
      <c r="O16" s="9"/>
      <c r="P16" s="9"/>
      <c r="Q16" s="2" t="s">
        <v>6</v>
      </c>
      <c r="R16" s="19">
        <f>IF('Input Sheet'!E24="Yes",D16*$L$18,PPO!D16*PPO!N18)</f>
        <v>0</v>
      </c>
      <c r="V16" s="19">
        <f>SUM(R16)</f>
        <v>0</v>
      </c>
    </row>
    <row r="17" spans="3:22" ht="12.75">
      <c r="C17" s="2" t="s">
        <v>23</v>
      </c>
      <c r="D17" s="6">
        <f>+'Input Sheet'!I23</f>
        <v>0</v>
      </c>
      <c r="L17" s="92" t="s">
        <v>106</v>
      </c>
      <c r="N17" s="9"/>
      <c r="O17" s="9"/>
      <c r="P17" s="9"/>
      <c r="Q17" s="2" t="s">
        <v>23</v>
      </c>
      <c r="R17" s="20">
        <f>IF($D$6="Yes",IF('Input Sheet'!I24="No",D17*$L$18,PPO!D17*PPO!N18),0)</f>
        <v>0</v>
      </c>
      <c r="V17" s="20">
        <f>SUM(R17)</f>
        <v>0</v>
      </c>
    </row>
    <row r="18" spans="3:22" ht="13.5" thickBot="1">
      <c r="C18" s="2" t="s">
        <v>25</v>
      </c>
      <c r="D18" s="8">
        <f>+'Input Sheet'!M23</f>
        <v>0</v>
      </c>
      <c r="L18" s="11">
        <v>15000</v>
      </c>
      <c r="N18" s="11">
        <f>+'Input Sheet'!S24</f>
        <v>0</v>
      </c>
      <c r="Q18" s="2" t="s">
        <v>25</v>
      </c>
      <c r="R18" s="21">
        <f>IF($D$7&gt;0,IF('Input Sheet'!M24="No",D18*$L$18,PPO!D18*PPO!N18),0)</f>
        <v>0</v>
      </c>
      <c r="V18" s="21">
        <f>SUM(R18)</f>
        <v>0</v>
      </c>
    </row>
    <row r="19" ht="6" customHeight="1" thickTop="1"/>
    <row r="20" spans="18:20" ht="13.5" thickBot="1">
      <c r="R20" s="92" t="s">
        <v>29</v>
      </c>
      <c r="T20" s="92" t="s">
        <v>66</v>
      </c>
    </row>
    <row r="21" spans="2:22" ht="13.5" thickTop="1">
      <c r="B21" s="2" t="s">
        <v>28</v>
      </c>
      <c r="C21" s="2" t="s">
        <v>6</v>
      </c>
      <c r="D21" s="5">
        <f>+'Input Sheet'!E15</f>
        <v>0</v>
      </c>
      <c r="L21" s="10" t="s">
        <v>29</v>
      </c>
      <c r="N21" s="92" t="s">
        <v>60</v>
      </c>
      <c r="Q21" s="2" t="s">
        <v>6</v>
      </c>
      <c r="R21" s="19">
        <f>IF(D5="Yes",D21*$L$22,0)</f>
        <v>0</v>
      </c>
      <c r="T21" s="19">
        <f>IF(D5="Yes",D21*$N$22,0)</f>
        <v>0</v>
      </c>
      <c r="V21" s="19">
        <f>SUM(R21)</f>
        <v>0</v>
      </c>
    </row>
    <row r="22" spans="3:23" ht="13.5" thickBot="1">
      <c r="C22" s="2" t="s">
        <v>23</v>
      </c>
      <c r="D22" s="6">
        <f>+'Input Sheet'!I15</f>
        <v>0</v>
      </c>
      <c r="L22" s="22">
        <v>50</v>
      </c>
      <c r="N22" s="11">
        <v>2000</v>
      </c>
      <c r="Q22" s="2" t="s">
        <v>23</v>
      </c>
      <c r="R22" s="20">
        <f>IF($D$6="yes",D22*$L$22,0)</f>
        <v>0</v>
      </c>
      <c r="T22" s="20">
        <f>IF($D$6="yes",D22*$N$22,0)</f>
        <v>0</v>
      </c>
      <c r="V22" s="20">
        <f>SUM(R22)</f>
        <v>0</v>
      </c>
      <c r="W22" s="3" t="s">
        <v>30</v>
      </c>
    </row>
    <row r="23" spans="3:23" ht="13.5" thickBot="1">
      <c r="C23" s="2" t="s">
        <v>25</v>
      </c>
      <c r="D23" s="8">
        <f>+'Input Sheet'!M15</f>
        <v>0</v>
      </c>
      <c r="Q23" s="2" t="s">
        <v>25</v>
      </c>
      <c r="R23" s="21">
        <f>IF($D$7&gt;0,D23*$L$22,0)</f>
        <v>0</v>
      </c>
      <c r="T23" s="21">
        <f>IF($D$7&gt;0,D23*$N$22,0)</f>
        <v>0</v>
      </c>
      <c r="V23" s="21">
        <f>SUM(R23)</f>
        <v>0</v>
      </c>
      <c r="W23" s="17">
        <f>SUM(V21:V23)</f>
        <v>0</v>
      </c>
    </row>
    <row r="24" ht="13.5" thickTop="1"/>
    <row r="25" ht="6" customHeight="1"/>
    <row r="26" spans="4:16" ht="12.75">
      <c r="D26" s="3" t="s">
        <v>31</v>
      </c>
      <c r="E26" s="3" t="s">
        <v>32</v>
      </c>
      <c r="F26" s="3" t="s">
        <v>31</v>
      </c>
      <c r="G26" s="3" t="s">
        <v>32</v>
      </c>
      <c r="H26" s="3" t="s">
        <v>31</v>
      </c>
      <c r="I26" s="3" t="s">
        <v>32</v>
      </c>
      <c r="P26" s="3"/>
    </row>
    <row r="27" spans="2:20" ht="13.5" thickBot="1">
      <c r="B27" s="2" t="s">
        <v>33</v>
      </c>
      <c r="D27" s="3" t="s">
        <v>11</v>
      </c>
      <c r="E27" s="88" t="s">
        <v>11</v>
      </c>
      <c r="F27" s="88" t="s">
        <v>63</v>
      </c>
      <c r="G27" s="88" t="s">
        <v>63</v>
      </c>
      <c r="H27" s="88" t="s">
        <v>91</v>
      </c>
      <c r="I27" s="88" t="s">
        <v>91</v>
      </c>
      <c r="M27" s="23" t="s">
        <v>11</v>
      </c>
      <c r="N27" s="90" t="s">
        <v>92</v>
      </c>
      <c r="O27" s="88" t="s">
        <v>91</v>
      </c>
      <c r="P27" s="24"/>
      <c r="R27" s="23" t="s">
        <v>11</v>
      </c>
      <c r="S27" s="90" t="s">
        <v>92</v>
      </c>
      <c r="T27" s="88" t="s">
        <v>91</v>
      </c>
    </row>
    <row r="28" spans="3:22" ht="13.5" thickTop="1">
      <c r="C28" s="2" t="s">
        <v>6</v>
      </c>
      <c r="D28" s="25">
        <f>+'Input Sheet'!$E$18</f>
        <v>0</v>
      </c>
      <c r="E28" s="5">
        <f>+'Input Sheet'!$G$18</f>
        <v>0</v>
      </c>
      <c r="F28" s="26">
        <f>+'Input Sheet'!$E$19</f>
        <v>0</v>
      </c>
      <c r="G28" s="26">
        <f>+'Input Sheet'!$G$19</f>
        <v>0</v>
      </c>
      <c r="H28" s="26">
        <f>+'Input Sheet'!$E$20</f>
        <v>0</v>
      </c>
      <c r="I28" s="26">
        <f>+'Input Sheet'!$G$20</f>
        <v>0</v>
      </c>
      <c r="L28" s="27" t="s">
        <v>34</v>
      </c>
      <c r="M28" s="28">
        <v>10</v>
      </c>
      <c r="N28" s="28">
        <v>25</v>
      </c>
      <c r="O28" s="28">
        <v>50</v>
      </c>
      <c r="Q28" s="2" t="s">
        <v>6</v>
      </c>
      <c r="R28" s="29">
        <f>D28*$M$28+E28*$M$29</f>
        <v>0</v>
      </c>
      <c r="S28" s="133">
        <f>F28*$N$28+G28*$N$29</f>
        <v>0</v>
      </c>
      <c r="T28" s="30">
        <f>+H28*$O$28+I28*$O$29</f>
        <v>0</v>
      </c>
      <c r="V28" s="12">
        <f>SUM(R28:T28)</f>
        <v>0</v>
      </c>
    </row>
    <row r="29" spans="2:23" ht="13.5" thickBot="1">
      <c r="B29" s="31"/>
      <c r="C29" s="2" t="s">
        <v>23</v>
      </c>
      <c r="D29" s="32">
        <f>+'Input Sheet'!$I$18</f>
        <v>0</v>
      </c>
      <c r="E29" s="6">
        <f>+'Input Sheet'!$K$18</f>
        <v>0</v>
      </c>
      <c r="F29" s="33">
        <f>+'Input Sheet'!$I$19</f>
        <v>0</v>
      </c>
      <c r="G29" s="33">
        <f>+'Input Sheet'!$K$19</f>
        <v>0</v>
      </c>
      <c r="H29" s="33">
        <f>+'Input Sheet'!$I$20</f>
        <v>0</v>
      </c>
      <c r="I29" s="33">
        <f>+'Input Sheet'!$K$20</f>
        <v>0</v>
      </c>
      <c r="L29" s="34" t="s">
        <v>35</v>
      </c>
      <c r="M29" s="28">
        <v>20</v>
      </c>
      <c r="N29" s="28">
        <v>50</v>
      </c>
      <c r="O29" s="28">
        <v>100</v>
      </c>
      <c r="Q29" s="2" t="s">
        <v>23</v>
      </c>
      <c r="R29" s="35">
        <f>IF($D$6="yes",D29*$M$28+E29*$M$29,0)</f>
        <v>0</v>
      </c>
      <c r="S29" s="13">
        <f>IF($D$6="yes",F29*$N$28+G29*$N$29,0)</f>
        <v>0</v>
      </c>
      <c r="T29" s="36">
        <f>IF($D$6="yes",+H29*$O$28+I29*$O$29,0)</f>
        <v>0</v>
      </c>
      <c r="V29" s="14">
        <f>SUM(R29:T29)</f>
        <v>0</v>
      </c>
      <c r="W29" s="3" t="s">
        <v>36</v>
      </c>
    </row>
    <row r="30" spans="2:23" ht="13.5" thickBot="1">
      <c r="B30" s="31"/>
      <c r="C30" s="2" t="s">
        <v>25</v>
      </c>
      <c r="D30" s="37">
        <f>+'Input Sheet'!$M$18</f>
        <v>0</v>
      </c>
      <c r="E30" s="8">
        <f>+'Input Sheet'!$O$18</f>
        <v>0</v>
      </c>
      <c r="F30" s="38">
        <f>+'Input Sheet'!$M$19</f>
        <v>0</v>
      </c>
      <c r="G30" s="38">
        <f>+'Input Sheet'!$O$19</f>
        <v>0</v>
      </c>
      <c r="H30" s="38">
        <f>+'Input Sheet'!$M$20</f>
        <v>0</v>
      </c>
      <c r="I30" s="38">
        <f>+'Input Sheet'!$O$20</f>
        <v>0</v>
      </c>
      <c r="Q30" s="2" t="s">
        <v>25</v>
      </c>
      <c r="R30" s="39">
        <f>IF($D$7&gt;0,D30*$M$28+E30*$M$29,0)</f>
        <v>0</v>
      </c>
      <c r="S30" s="134">
        <f>IF($D$7&gt;0,F30*$N$28+G30*$N$29,0)</f>
        <v>0</v>
      </c>
      <c r="T30" s="40">
        <f>IF($D$7&gt;0,+H30*$O$28+I30*$O$29,0)</f>
        <v>0</v>
      </c>
      <c r="V30" s="16">
        <f>SUM(R30:T30)</f>
        <v>0</v>
      </c>
      <c r="W30" s="17">
        <f>SUM(V28:V30)</f>
        <v>0</v>
      </c>
    </row>
    <row r="31" ht="13.5" thickTop="1"/>
    <row r="32" ht="13.5" thickBot="1"/>
    <row r="33" spans="2:9" ht="12.75">
      <c r="B33" s="2" t="s">
        <v>37</v>
      </c>
      <c r="D33" s="3" t="s">
        <v>38</v>
      </c>
      <c r="E33" s="88" t="s">
        <v>64</v>
      </c>
      <c r="F33" s="89" t="s">
        <v>65</v>
      </c>
      <c r="G33" s="3" t="s">
        <v>39</v>
      </c>
      <c r="H33" s="3" t="s">
        <v>40</v>
      </c>
      <c r="I33" s="7" t="s">
        <v>41</v>
      </c>
    </row>
    <row r="34" spans="2:9" ht="12.75">
      <c r="B34" s="42" t="s">
        <v>42</v>
      </c>
      <c r="C34" s="2" t="s">
        <v>6</v>
      </c>
      <c r="D34" s="13">
        <f aca="true" t="shared" si="0" ref="D34:E36">+R11</f>
        <v>0</v>
      </c>
      <c r="E34" s="13">
        <f t="shared" si="0"/>
        <v>0</v>
      </c>
      <c r="F34" s="43">
        <f>+R16+T21</f>
        <v>0</v>
      </c>
      <c r="G34" s="44">
        <f>+R21</f>
        <v>0</v>
      </c>
      <c r="H34" s="13">
        <f>SUM(R28:T28)</f>
        <v>0</v>
      </c>
      <c r="I34" s="13">
        <f>SUM(D34:H34)</f>
        <v>0</v>
      </c>
    </row>
    <row r="35" spans="3:9" ht="12.75">
      <c r="C35" s="2" t="s">
        <v>23</v>
      </c>
      <c r="D35" s="13">
        <f t="shared" si="0"/>
        <v>0</v>
      </c>
      <c r="E35" s="13">
        <f t="shared" si="0"/>
        <v>0</v>
      </c>
      <c r="F35" s="43">
        <f>+R17+T22</f>
        <v>0</v>
      </c>
      <c r="G35" s="44">
        <f>+R22</f>
        <v>0</v>
      </c>
      <c r="H35" s="13">
        <f>SUM(R29:T29)</f>
        <v>0</v>
      </c>
      <c r="I35" s="13">
        <f>SUM(D35:H35)</f>
        <v>0</v>
      </c>
    </row>
    <row r="36" spans="3:25" ht="12.75">
      <c r="C36" s="2" t="s">
        <v>25</v>
      </c>
      <c r="D36" s="13">
        <f t="shared" si="0"/>
        <v>0</v>
      </c>
      <c r="E36" s="13">
        <f t="shared" si="0"/>
        <v>0</v>
      </c>
      <c r="F36" s="43">
        <f>+R18+T23</f>
        <v>0</v>
      </c>
      <c r="G36" s="44">
        <f>+R23</f>
        <v>0</v>
      </c>
      <c r="H36" s="13">
        <f>SUM(R30:T30)</f>
        <v>0</v>
      </c>
      <c r="I36" s="13">
        <f>SUM(D36:H36)</f>
        <v>0</v>
      </c>
      <c r="Y36" s="100">
        <v>0</v>
      </c>
    </row>
    <row r="37" spans="6:25" ht="7.5" customHeight="1" thickBot="1">
      <c r="F37" s="45"/>
      <c r="G37" s="3"/>
      <c r="Y37" s="100"/>
    </row>
    <row r="38" spans="4:25" ht="13.5" thickBot="1">
      <c r="D38" s="13">
        <f aca="true" t="shared" si="1" ref="D38:I38">SUM(D34:D36)</f>
        <v>0</v>
      </c>
      <c r="E38" s="13">
        <f t="shared" si="1"/>
        <v>0</v>
      </c>
      <c r="F38" s="46">
        <f t="shared" si="1"/>
        <v>0</v>
      </c>
      <c r="G38" s="13">
        <f t="shared" si="1"/>
        <v>0</v>
      </c>
      <c r="H38" s="13">
        <f t="shared" si="1"/>
        <v>0</v>
      </c>
      <c r="I38" s="13">
        <f t="shared" si="1"/>
        <v>0</v>
      </c>
      <c r="W38" s="94">
        <f>IF($D$5="Yes",1,0)</f>
        <v>1</v>
      </c>
      <c r="Y38" s="100">
        <v>1</v>
      </c>
    </row>
    <row r="39" spans="15:25" ht="13.5" thickBot="1">
      <c r="O39" s="2" t="s">
        <v>43</v>
      </c>
      <c r="W39" s="82">
        <f>IF($D$6="Yes",2,0)</f>
        <v>0</v>
      </c>
      <c r="Y39" s="100">
        <v>2</v>
      </c>
    </row>
    <row r="40" spans="2:25" ht="13.5" thickBot="1">
      <c r="B40" s="2" t="s">
        <v>44</v>
      </c>
      <c r="D40" s="41" t="s">
        <v>45</v>
      </c>
      <c r="E40" s="7" t="s">
        <v>46</v>
      </c>
      <c r="F40" s="3" t="s">
        <v>43</v>
      </c>
      <c r="G40" s="2" t="s">
        <v>47</v>
      </c>
      <c r="H40" s="126" t="s">
        <v>38</v>
      </c>
      <c r="I40" s="59" t="s">
        <v>40</v>
      </c>
      <c r="J40" s="7" t="s">
        <v>48</v>
      </c>
      <c r="M40" s="3" t="s">
        <v>43</v>
      </c>
      <c r="N40" s="3" t="s">
        <v>49</v>
      </c>
      <c r="O40" s="2" t="s">
        <v>48</v>
      </c>
      <c r="Q40" s="9" t="s">
        <v>50</v>
      </c>
      <c r="S40" s="3" t="s">
        <v>51</v>
      </c>
      <c r="W40" s="82">
        <f>IF($D$7=0,0,IF(D7=1,3,IF(D7&gt;1,4)))</f>
        <v>0</v>
      </c>
      <c r="Y40" s="100">
        <v>2</v>
      </c>
    </row>
    <row r="41" spans="3:25" ht="13.5" thickBot="1">
      <c r="C41" s="2" t="s">
        <v>6</v>
      </c>
      <c r="D41" s="43">
        <f>SUM(E34:F34)</f>
        <v>0</v>
      </c>
      <c r="E41" s="13">
        <f>IF(D41&lt;$N$41,D41,N41)</f>
        <v>0</v>
      </c>
      <c r="F41" s="13">
        <f>IF((((+D41-E41))*$M$41)&gt;O41,O41,(((+D41-E41))*$M$41))</f>
        <v>0</v>
      </c>
      <c r="G41" s="13">
        <f>+E41+F41</f>
        <v>0</v>
      </c>
      <c r="H41" s="13">
        <f>+D34+G34</f>
        <v>0</v>
      </c>
      <c r="I41" s="13">
        <f>+H34</f>
        <v>0</v>
      </c>
      <c r="J41" s="225">
        <f>IF(SUM(G41:I41)&gt;Q41,Q41,SUM(G41:I41))</f>
        <v>0</v>
      </c>
      <c r="L41" s="2" t="s">
        <v>6</v>
      </c>
      <c r="M41" s="47">
        <v>0.2</v>
      </c>
      <c r="N41" s="22">
        <v>300</v>
      </c>
      <c r="O41" s="22">
        <v>1000</v>
      </c>
      <c r="P41" s="22"/>
      <c r="Q41" s="22">
        <f>+N41+O41</f>
        <v>1300</v>
      </c>
      <c r="S41" s="93">
        <v>3</v>
      </c>
      <c r="W41" s="80"/>
      <c r="Y41" s="100">
        <v>3</v>
      </c>
    </row>
    <row r="42" spans="3:25" ht="13.5" thickBot="1">
      <c r="C42" s="2" t="s">
        <v>23</v>
      </c>
      <c r="D42" s="43">
        <f>SUM(E35:F35)</f>
        <v>0</v>
      </c>
      <c r="E42" s="13">
        <f>IF(D42&lt;$N$42,D42,N42)</f>
        <v>0</v>
      </c>
      <c r="F42" s="13">
        <f>IF((((+D42-E42))*$M$41)&gt;O42,O42,(((+D42-E42))*$M$41))</f>
        <v>0</v>
      </c>
      <c r="G42" s="13">
        <f>+E42+F42</f>
        <v>0</v>
      </c>
      <c r="H42" s="13">
        <f>+D35+G35</f>
        <v>0</v>
      </c>
      <c r="I42" s="13">
        <f>+H35</f>
        <v>0</v>
      </c>
      <c r="J42" s="225">
        <f>IF(SUM(G42:I42)&gt;Q42,Q42,SUM(G42:I42))</f>
        <v>0</v>
      </c>
      <c r="L42" s="2" t="s">
        <v>23</v>
      </c>
      <c r="M42" s="47">
        <f>+M41</f>
        <v>0.2</v>
      </c>
      <c r="N42" s="22">
        <v>300</v>
      </c>
      <c r="O42" s="22">
        <v>1000</v>
      </c>
      <c r="P42" s="22"/>
      <c r="Q42" s="22">
        <f>+N42+O42</f>
        <v>1300</v>
      </c>
      <c r="W42" s="95">
        <f>SUM(W38:W40)</f>
        <v>1</v>
      </c>
      <c r="Y42" s="100"/>
    </row>
    <row r="43" spans="3:17" ht="12.75">
      <c r="C43" s="2" t="s">
        <v>25</v>
      </c>
      <c r="D43" s="43">
        <f>SUM(E36:F36)</f>
        <v>0</v>
      </c>
      <c r="E43" s="13">
        <f>IF(D43&lt;$N$41,D43,N43)</f>
        <v>0</v>
      </c>
      <c r="F43" s="13">
        <f>IF((((+D43-E43))*$M$41)&gt;O43,O43,(((+D43-E43))*$M$41))</f>
        <v>0</v>
      </c>
      <c r="G43" s="13">
        <f>+E43+F43</f>
        <v>0</v>
      </c>
      <c r="H43" s="13">
        <f>+D36+G36</f>
        <v>0</v>
      </c>
      <c r="I43" s="13">
        <f>+H36</f>
        <v>0</v>
      </c>
      <c r="J43" s="225">
        <f>IF(SUM(G43:I43)&gt;Q43,Q43,SUM(G43:I43))</f>
        <v>0</v>
      </c>
      <c r="L43" s="2" t="s">
        <v>25</v>
      </c>
      <c r="M43" s="47">
        <f>+M41</f>
        <v>0.2</v>
      </c>
      <c r="N43" s="22">
        <v>300</v>
      </c>
      <c r="O43" s="22">
        <v>1000</v>
      </c>
      <c r="P43" s="22"/>
      <c r="Q43" s="22">
        <f>+N43+O43</f>
        <v>1300</v>
      </c>
    </row>
    <row r="44" spans="4:7" ht="7.5" customHeight="1">
      <c r="D44" s="45"/>
      <c r="G44" s="3"/>
    </row>
    <row r="45" spans="4:17" ht="13.5" thickBot="1">
      <c r="D45" s="46">
        <f>SUM(D41:D43)</f>
        <v>0</v>
      </c>
      <c r="E45" s="13">
        <f>IF(SUM(E41:E43)&gt;($S$41*N41),$S$41*N41,SUM(E41:E43))</f>
        <v>0</v>
      </c>
      <c r="F45" s="13">
        <f>IF(SUM(F41:F43)&gt;($S$41*O41),$S$41*O41,SUM(F41:F43))</f>
        <v>0</v>
      </c>
      <c r="G45" s="13">
        <f>SUM(E45:F45)</f>
        <v>0</v>
      </c>
      <c r="H45" s="13">
        <f>SUM(H41:H43)</f>
        <v>0</v>
      </c>
      <c r="I45" s="13">
        <f>SUM(I41:I43)</f>
        <v>0</v>
      </c>
      <c r="J45" s="214">
        <f>SUM(J41:J43)</f>
        <v>0</v>
      </c>
      <c r="L45" s="2" t="s">
        <v>1</v>
      </c>
      <c r="M45" s="48">
        <f>M41</f>
        <v>0.2</v>
      </c>
      <c r="N45" s="44">
        <f>SUM(N41:N43)</f>
        <v>900</v>
      </c>
      <c r="O45" s="44">
        <f>SUM(O41:O43)</f>
        <v>3000</v>
      </c>
      <c r="P45" s="44"/>
      <c r="Q45" s="44">
        <f>SUM(Q41:Q43)</f>
        <v>3900</v>
      </c>
    </row>
    <row r="46" spans="13:14" ht="13.5" thickBot="1">
      <c r="M46" s="49"/>
      <c r="N46" s="49"/>
    </row>
    <row r="47" spans="2:18" ht="13.5" thickBot="1">
      <c r="B47" s="50"/>
      <c r="C47" s="50"/>
      <c r="D47" s="51"/>
      <c r="E47" s="52"/>
      <c r="F47" s="53"/>
      <c r="G47" s="54"/>
      <c r="H47" s="55" t="s">
        <v>52</v>
      </c>
      <c r="I47" s="55"/>
      <c r="J47" s="224">
        <f>+J45</f>
        <v>0</v>
      </c>
      <c r="L47" s="49" t="s">
        <v>53</v>
      </c>
      <c r="M47" s="49" t="s">
        <v>48</v>
      </c>
      <c r="N47" s="49"/>
      <c r="Q47" s="57">
        <f>IF(J59&gt;0,Q41)</f>
        <v>1300</v>
      </c>
      <c r="R47" s="58"/>
    </row>
    <row r="48" spans="2:18" ht="13.5" thickBot="1">
      <c r="B48" s="50"/>
      <c r="C48" s="50"/>
      <c r="D48" s="59"/>
      <c r="E48" s="52"/>
      <c r="F48" s="53"/>
      <c r="G48" s="60"/>
      <c r="H48" s="34" t="s">
        <v>0</v>
      </c>
      <c r="J48" s="61">
        <f>+'Input Sheet'!G45</f>
        <v>1931.52</v>
      </c>
      <c r="L48" s="49" t="s">
        <v>54</v>
      </c>
      <c r="M48" s="49" t="s">
        <v>48</v>
      </c>
      <c r="N48" s="49"/>
      <c r="Q48" s="57">
        <f>IF($J$59=1,0,IF($J$59=3,$Q$42*(1),IF($J$59&gt;3,$Q$42*($S$41-1))))</f>
        <v>0</v>
      </c>
      <c r="R48" s="58"/>
    </row>
    <row r="49" spans="2:19" ht="13.5" thickBot="1">
      <c r="B49" s="50"/>
      <c r="C49" s="50"/>
      <c r="D49" s="59"/>
      <c r="E49" s="52"/>
      <c r="F49" s="53"/>
      <c r="G49" s="62"/>
      <c r="H49" s="63" t="s">
        <v>14</v>
      </c>
      <c r="J49" s="64">
        <f>+J47+J48</f>
        <v>1931.52</v>
      </c>
      <c r="L49" s="65"/>
      <c r="M49" s="65"/>
      <c r="N49" s="65"/>
      <c r="O49" s="9"/>
      <c r="P49" s="9"/>
      <c r="Q49" s="66"/>
      <c r="R49" s="67"/>
      <c r="S49" s="9"/>
    </row>
    <row r="50" spans="2:18" ht="13.5" thickBot="1">
      <c r="B50" s="50"/>
      <c r="C50" s="50"/>
      <c r="D50" s="51"/>
      <c r="E50" s="68"/>
      <c r="F50" s="53"/>
      <c r="G50" s="69"/>
      <c r="H50" s="70"/>
      <c r="I50" s="71"/>
      <c r="L50" s="49" t="s">
        <v>41</v>
      </c>
      <c r="M50" s="49" t="s">
        <v>48</v>
      </c>
      <c r="N50" s="49"/>
      <c r="Q50" s="57">
        <f>IF($J$59&gt;1,SUM(Q47:Q48),Q41)</f>
        <v>1300</v>
      </c>
      <c r="R50" s="58"/>
    </row>
    <row r="51" spans="2:9" ht="3" customHeight="1">
      <c r="B51" s="50"/>
      <c r="C51" s="50"/>
      <c r="D51" s="59"/>
      <c r="E51" s="50"/>
      <c r="G51" s="9"/>
      <c r="H51" s="9"/>
      <c r="I51" s="7"/>
    </row>
    <row r="52" spans="7:24" ht="16.5" thickBot="1">
      <c r="G52" s="9"/>
      <c r="H52" s="9"/>
      <c r="I52" s="72"/>
      <c r="J52" s="73"/>
      <c r="K52" s="73"/>
      <c r="L52" s="74"/>
      <c r="W52" s="92" t="s">
        <v>53</v>
      </c>
      <c r="X52" s="96">
        <v>1</v>
      </c>
    </row>
    <row r="53" spans="2:24" ht="16.5" thickBot="1">
      <c r="B53" s="54"/>
      <c r="C53" s="75"/>
      <c r="D53" s="76"/>
      <c r="E53" s="76"/>
      <c r="F53" s="76"/>
      <c r="G53" s="69"/>
      <c r="H53" s="69"/>
      <c r="I53" s="77">
        <v>0</v>
      </c>
      <c r="J53" s="142"/>
      <c r="K53" s="73"/>
      <c r="L53" s="49" t="s">
        <v>53</v>
      </c>
      <c r="M53" s="49" t="s">
        <v>55</v>
      </c>
      <c r="Q53" s="57">
        <f>Q47-G41</f>
        <v>1300</v>
      </c>
      <c r="R53" s="58"/>
      <c r="W53" s="92" t="s">
        <v>68</v>
      </c>
      <c r="X53" s="97">
        <v>3</v>
      </c>
    </row>
    <row r="54" spans="2:24" ht="16.5" thickBot="1">
      <c r="B54" s="54"/>
      <c r="C54" s="78" t="s">
        <v>56</v>
      </c>
      <c r="D54" s="76"/>
      <c r="E54" s="246"/>
      <c r="F54" s="76"/>
      <c r="G54" s="79"/>
      <c r="H54" s="79"/>
      <c r="I54" s="80"/>
      <c r="J54" s="141"/>
      <c r="K54" s="73"/>
      <c r="L54" s="49" t="s">
        <v>54</v>
      </c>
      <c r="M54" s="49" t="s">
        <v>55</v>
      </c>
      <c r="Q54" s="109">
        <f>IF(SUM(G42:G43)&gt;Q48,0,Q48-SUM(G42:G43))</f>
        <v>0</v>
      </c>
      <c r="R54" s="58"/>
      <c r="W54" s="92" t="s">
        <v>69</v>
      </c>
      <c r="X54" s="98">
        <v>4</v>
      </c>
    </row>
    <row r="55" spans="2:24" ht="16.5" thickBot="1">
      <c r="B55" s="60"/>
      <c r="C55" s="59" t="s">
        <v>57</v>
      </c>
      <c r="E55" s="247"/>
      <c r="G55" s="81"/>
      <c r="H55" s="81"/>
      <c r="I55" s="82">
        <f>IF($D$5="Yes",1,0)</f>
        <v>1</v>
      </c>
      <c r="J55" s="82">
        <f>IF($D$5="Yes",1,0)</f>
        <v>1</v>
      </c>
      <c r="K55" s="73"/>
      <c r="L55" s="65"/>
      <c r="M55" s="65"/>
      <c r="N55" s="9"/>
      <c r="O55" s="9"/>
      <c r="P55" s="9"/>
      <c r="Q55" s="66"/>
      <c r="R55" s="67"/>
      <c r="S55" s="9"/>
      <c r="W55" s="92" t="s">
        <v>72</v>
      </c>
      <c r="X55" s="97">
        <v>5</v>
      </c>
    </row>
    <row r="56" spans="2:24" ht="13.5" thickBot="1">
      <c r="B56" s="60"/>
      <c r="C56" s="59" t="s">
        <v>58</v>
      </c>
      <c r="E56" s="247"/>
      <c r="G56" s="81"/>
      <c r="H56" s="81"/>
      <c r="I56" s="82">
        <f>IF($D$6="Yes",2,0)</f>
        <v>0</v>
      </c>
      <c r="J56" s="82">
        <f>IF($D$6="Yes",2,0)</f>
        <v>0</v>
      </c>
      <c r="L56" s="49" t="s">
        <v>41</v>
      </c>
      <c r="M56" s="49" t="s">
        <v>55</v>
      </c>
      <c r="Q56" s="57">
        <f>Q50-R63</f>
        <v>1300</v>
      </c>
      <c r="R56" s="58"/>
      <c r="W56" s="92" t="s">
        <v>70</v>
      </c>
      <c r="X56" s="99">
        <v>6</v>
      </c>
    </row>
    <row r="57" spans="2:24" ht="16.5" thickBot="1">
      <c r="B57" s="60"/>
      <c r="C57" s="59" t="s">
        <v>1</v>
      </c>
      <c r="E57" s="247"/>
      <c r="G57" s="81"/>
      <c r="H57" s="81"/>
      <c r="I57" s="82">
        <f>IF($D$7&gt;0,3,0)</f>
        <v>0</v>
      </c>
      <c r="J57" s="82">
        <f>IF($D$7=0,0,IF($D$7=1,2,IF($D$7&gt;1,3,0)))</f>
        <v>0</v>
      </c>
      <c r="L57" s="74"/>
      <c r="W57" s="92" t="s">
        <v>71</v>
      </c>
      <c r="X57" s="98">
        <v>7</v>
      </c>
    </row>
    <row r="58" spans="2:18" ht="13.5" thickBot="1">
      <c r="B58" s="60"/>
      <c r="I58" s="80"/>
      <c r="J58" s="80"/>
      <c r="L58" s="49" t="s">
        <v>116</v>
      </c>
      <c r="Q58" s="57">
        <f>+'Input Sheet'!I29</f>
        <v>0</v>
      </c>
      <c r="R58" s="58"/>
    </row>
    <row r="59" spans="2:10" ht="12.75">
      <c r="B59" s="60"/>
      <c r="I59" s="83">
        <f>SUM(I55:I57)</f>
        <v>1</v>
      </c>
      <c r="J59" s="83">
        <f>SUM(J55:J57)</f>
        <v>1</v>
      </c>
    </row>
    <row r="60" spans="2:10" ht="13.5" thickBot="1">
      <c r="B60" s="62"/>
      <c r="C60" s="84"/>
      <c r="D60" s="85"/>
      <c r="E60" s="85"/>
      <c r="F60" s="85"/>
      <c r="G60" s="86"/>
      <c r="H60" s="86"/>
      <c r="I60" s="87">
        <f>IF(I53=0,IF($I$59=1,$E$54,IF($I$59=3,$E$55,IF($I$59=4,$E$56,IF($I$59=6,$E$57)))),0)</f>
        <v>0</v>
      </c>
      <c r="J60" s="87">
        <f>IF(J53=0,IF($I$59=1,$E$54,IF($I$59=3,$E$55,IF($I$59=4,$E$56,IF($I$59=6,$E$57)))),0)</f>
        <v>0</v>
      </c>
    </row>
    <row r="61" ht="12.75"/>
    <row r="62" ht="13.5" thickBot="1"/>
    <row r="63" spans="2:18" ht="12.75">
      <c r="B63" s="112" t="s">
        <v>134</v>
      </c>
      <c r="C63" s="235" t="s">
        <v>56</v>
      </c>
      <c r="D63" s="236"/>
      <c r="E63" s="237">
        <f>IF(D5="Yes",1,0)</f>
        <v>1</v>
      </c>
      <c r="F63" s="238">
        <f>IF(E63=1,(100*12)/12*12,0)</f>
        <v>1200</v>
      </c>
      <c r="G63" s="79"/>
      <c r="H63" s="249"/>
      <c r="O63" s="113"/>
      <c r="P63" s="75"/>
      <c r="Q63" s="114" t="s">
        <v>52</v>
      </c>
      <c r="R63" s="115">
        <f>+J47</f>
        <v>0</v>
      </c>
    </row>
    <row r="64" spans="2:18" ht="13.5" thickBot="1">
      <c r="B64" s="60"/>
      <c r="C64" s="239" t="s">
        <v>7</v>
      </c>
      <c r="D64" s="239"/>
      <c r="E64" s="240"/>
      <c r="F64" s="241"/>
      <c r="G64" s="81"/>
      <c r="H64" s="250"/>
      <c r="O64" s="117"/>
      <c r="Q64" s="145" t="s">
        <v>115</v>
      </c>
      <c r="R64" s="144">
        <f>IF('Input Sheet'!I28="No",0,IF(R63&gt;Q58,Q58,R63))</f>
        <v>0</v>
      </c>
    </row>
    <row r="65" spans="2:18" ht="13.5" thickBot="1">
      <c r="B65" s="60"/>
      <c r="C65" s="239" t="s">
        <v>8</v>
      </c>
      <c r="D65" s="239"/>
      <c r="E65" s="240"/>
      <c r="F65" s="241"/>
      <c r="G65" s="81"/>
      <c r="H65" s="250"/>
      <c r="I65" s="248" t="str">
        <f>IF($J$59=1,"$300",IF($J$59=3,"2 x $300 = $600",IF($J$59&gt;3,"3 x $300 = $900")))</f>
        <v>$300</v>
      </c>
      <c r="O65" s="117"/>
      <c r="Q65" s="143" t="s">
        <v>114</v>
      </c>
      <c r="R65" s="144">
        <f>IF('Input Sheet'!I31="No",0,IF(SUM(R63-R64)&gt;F66,F66,SUM(R63-R64)))</f>
        <v>0</v>
      </c>
    </row>
    <row r="66" spans="2:18" ht="12.75">
      <c r="B66" s="60"/>
      <c r="C66" s="242" t="s">
        <v>126</v>
      </c>
      <c r="D66" s="243"/>
      <c r="E66" s="244">
        <f>SUM(E63:E65)</f>
        <v>1</v>
      </c>
      <c r="F66" s="245">
        <f>SUM(F63:F65)</f>
        <v>1200</v>
      </c>
      <c r="G66" s="81"/>
      <c r="H66" s="250"/>
      <c r="O66" s="117"/>
      <c r="Q66" s="119" t="s">
        <v>113</v>
      </c>
      <c r="R66" s="118">
        <f>R63-R64-R65</f>
        <v>0</v>
      </c>
    </row>
    <row r="67" spans="2:18" ht="12.75">
      <c r="B67" s="60"/>
      <c r="H67" s="251"/>
      <c r="O67" s="117"/>
      <c r="Q67" s="102"/>
      <c r="R67" s="120"/>
    </row>
    <row r="68" spans="2:18" ht="13.5" thickBot="1">
      <c r="B68" s="60"/>
      <c r="H68" s="251"/>
      <c r="O68" s="117"/>
      <c r="Q68" s="102" t="s">
        <v>0</v>
      </c>
      <c r="R68" s="118">
        <f>'Input Sheet'!G45</f>
        <v>1931.52</v>
      </c>
    </row>
    <row r="69" spans="2:18" ht="13.5" thickBot="1">
      <c r="B69" s="62"/>
      <c r="C69" s="84" t="s">
        <v>59</v>
      </c>
      <c r="D69" s="85"/>
      <c r="E69" s="85"/>
      <c r="F69" s="85"/>
      <c r="G69" s="86"/>
      <c r="H69" s="252"/>
      <c r="O69" s="123"/>
      <c r="P69" s="86"/>
      <c r="Q69" s="124" t="s">
        <v>14</v>
      </c>
      <c r="R69" s="125">
        <f>R66+R68</f>
        <v>1931.52</v>
      </c>
    </row>
    <row r="72" ht="12.75">
      <c r="C72" s="3"/>
    </row>
    <row r="73" ht="12.75">
      <c r="C73" s="3"/>
    </row>
    <row r="74" ht="12.75">
      <c r="C74" s="3"/>
    </row>
    <row r="75" ht="12.75">
      <c r="C75" s="140"/>
    </row>
  </sheetData>
  <sheetProtection password="8DC7" sheet="1" objects="1" scenarios="1" selectLockedCells="1" selectUnlockedCells="1"/>
  <printOptions horizontalCentered="1"/>
  <pageMargins left="0.25" right="0.25" top="0.5" bottom="0.5" header="0.5" footer="0.5"/>
  <pageSetup fitToHeight="1" fitToWidth="1"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1:AB71"/>
  <sheetViews>
    <sheetView zoomScalePageLayoutView="0" workbookViewId="0" topLeftCell="A34">
      <selection activeCell="F66" sqref="F66"/>
    </sheetView>
  </sheetViews>
  <sheetFormatPr defaultColWidth="8.00390625" defaultRowHeight="12.75"/>
  <cols>
    <col min="1" max="1" width="2.140625" style="2" customWidth="1"/>
    <col min="2" max="2" width="22.8515625" style="2" customWidth="1"/>
    <col min="3" max="3" width="8.00390625" style="2" customWidth="1"/>
    <col min="4" max="6" width="9.28125" style="3" customWidth="1"/>
    <col min="7" max="7" width="9.421875" style="2" customWidth="1"/>
    <col min="8" max="8" width="8.140625" style="2" bestFit="1" customWidth="1"/>
    <col min="9" max="9" width="10.57421875" style="2" customWidth="1"/>
    <col min="10" max="11" width="8.00390625" style="2" customWidth="1"/>
    <col min="12" max="12" width="9.00390625" style="2" bestFit="1" customWidth="1"/>
    <col min="13" max="13" width="8.140625" style="2" bestFit="1" customWidth="1"/>
    <col min="14" max="14" width="8.7109375" style="2" bestFit="1" customWidth="1"/>
    <col min="15" max="15" width="9.00390625" style="2" bestFit="1" customWidth="1"/>
    <col min="16" max="16" width="8.57421875" style="2" customWidth="1"/>
    <col min="17" max="17" width="8.7109375" style="2" bestFit="1" customWidth="1"/>
    <col min="18" max="18" width="10.57421875" style="2" customWidth="1"/>
    <col min="19" max="20" width="8.140625" style="2" bestFit="1" customWidth="1"/>
    <col min="21" max="21" width="3.8515625" style="2" customWidth="1"/>
    <col min="22" max="22" width="9.00390625" style="2" customWidth="1"/>
    <col min="23" max="16384" width="8.00390625" style="2" customWidth="1"/>
  </cols>
  <sheetData>
    <row r="1" ht="15.75">
      <c r="B1" s="254" t="s">
        <v>137</v>
      </c>
    </row>
    <row r="2" ht="12.75"/>
    <row r="3" ht="12.75"/>
    <row r="4" spans="12:13" ht="13.5" thickBot="1">
      <c r="L4" s="4" t="s">
        <v>17</v>
      </c>
      <c r="M4" s="4"/>
    </row>
    <row r="5" spans="2:4" ht="13.5" thickTop="1">
      <c r="B5" s="2" t="s">
        <v>6</v>
      </c>
      <c r="D5" s="5" t="str">
        <f>+'Input Sheet'!E5</f>
        <v>Yes</v>
      </c>
    </row>
    <row r="6" spans="2:17" ht="12.75">
      <c r="B6" s="2" t="s">
        <v>7</v>
      </c>
      <c r="D6" s="6" t="str">
        <f>+'Input Sheet'!E6</f>
        <v>No</v>
      </c>
      <c r="F6" s="7"/>
      <c r="G6" s="7"/>
      <c r="H6" s="7"/>
      <c r="Q6" s="92"/>
    </row>
    <row r="7" spans="2:8" ht="13.5" thickBot="1">
      <c r="B7" s="2" t="s">
        <v>18</v>
      </c>
      <c r="D7" s="8">
        <f>+'Input Sheet'!E7</f>
        <v>0</v>
      </c>
      <c r="F7" s="7"/>
      <c r="G7" s="7"/>
      <c r="H7" s="7"/>
    </row>
    <row r="8" ht="13.5" thickTop="1">
      <c r="P8" s="3" t="s">
        <v>84</v>
      </c>
    </row>
    <row r="9" spans="6:19" ht="12.75">
      <c r="F9" s="92"/>
      <c r="H9" s="88" t="s">
        <v>84</v>
      </c>
      <c r="L9" s="3" t="s">
        <v>19</v>
      </c>
      <c r="M9" s="3" t="s">
        <v>20</v>
      </c>
      <c r="N9" s="126" t="s">
        <v>103</v>
      </c>
      <c r="O9" s="132" t="s">
        <v>64</v>
      </c>
      <c r="P9" s="132" t="s">
        <v>64</v>
      </c>
      <c r="R9" s="3"/>
      <c r="S9" s="3"/>
    </row>
    <row r="10" spans="2:21" ht="13.5" thickBot="1">
      <c r="B10" s="9" t="s">
        <v>21</v>
      </c>
      <c r="D10" s="3" t="s">
        <v>19</v>
      </c>
      <c r="E10" s="3" t="s">
        <v>20</v>
      </c>
      <c r="F10" s="88" t="s">
        <v>103</v>
      </c>
      <c r="G10" s="3" t="s">
        <v>64</v>
      </c>
      <c r="H10" s="3" t="s">
        <v>64</v>
      </c>
      <c r="J10" s="126" t="s">
        <v>85</v>
      </c>
      <c r="L10" s="101" t="s">
        <v>73</v>
      </c>
      <c r="R10" s="88" t="s">
        <v>21</v>
      </c>
      <c r="S10" s="88"/>
      <c r="T10" s="3"/>
      <c r="U10" s="3"/>
    </row>
    <row r="11" spans="3:22" ht="13.5" thickTop="1">
      <c r="C11" s="2" t="s">
        <v>6</v>
      </c>
      <c r="D11" s="5">
        <f>+'Input Sheet'!E10</f>
        <v>0</v>
      </c>
      <c r="E11" s="5">
        <f>+'Input Sheet'!$E$11</f>
        <v>0</v>
      </c>
      <c r="F11" s="5">
        <f>+'Input Sheet'!$E$12</f>
        <v>0</v>
      </c>
      <c r="G11" s="5">
        <f>+'Input Sheet'!$E$13</f>
        <v>0</v>
      </c>
      <c r="H11" s="5">
        <f>+'Input Sheet'!$E$14</f>
        <v>0</v>
      </c>
      <c r="J11" s="5">
        <f>SUM(D11:G11)</f>
        <v>0</v>
      </c>
      <c r="L11" s="11">
        <v>0</v>
      </c>
      <c r="M11" s="11">
        <v>150</v>
      </c>
      <c r="N11" s="11">
        <v>100</v>
      </c>
      <c r="O11" s="11">
        <v>150</v>
      </c>
      <c r="P11" s="11">
        <v>1500</v>
      </c>
      <c r="Q11" s="2" t="s">
        <v>6</v>
      </c>
      <c r="R11" s="12">
        <f>IF(D5="yes",IF(D11&gt;0,SUMPRODUCT(D11:H11,$L$11:$P$11)-1*$L$11,SUMPRODUCT(D11:H11,$L$11:$P$11)),0)</f>
        <v>0</v>
      </c>
      <c r="S11" s="35"/>
      <c r="V11" s="12">
        <f>SUM(R11:S11)</f>
        <v>0</v>
      </c>
    </row>
    <row r="12" spans="2:23" ht="13.5" thickBot="1">
      <c r="B12" s="9"/>
      <c r="C12" s="2" t="s">
        <v>23</v>
      </c>
      <c r="D12" s="6">
        <f>+'Input Sheet'!I10</f>
        <v>0</v>
      </c>
      <c r="E12" s="6">
        <f>+'Input Sheet'!$I$11</f>
        <v>0</v>
      </c>
      <c r="F12" s="6">
        <f>+'Input Sheet'!$I$12</f>
        <v>0</v>
      </c>
      <c r="G12" s="6">
        <f>+'Input Sheet'!$I$13</f>
        <v>0</v>
      </c>
      <c r="H12" s="6">
        <f>+'Input Sheet'!$I$14</f>
        <v>0</v>
      </c>
      <c r="J12" s="6">
        <f>SUM(D12:G12)</f>
        <v>0</v>
      </c>
      <c r="L12" s="102" t="s">
        <v>74</v>
      </c>
      <c r="M12" s="102"/>
      <c r="N12" s="102" t="s">
        <v>75</v>
      </c>
      <c r="Q12" s="2" t="s">
        <v>23</v>
      </c>
      <c r="R12" s="14">
        <f>IF(D6="yes",IF(D12&gt;0,SUMPRODUCT(D12:H12,$L$11:$P$11)-1*$L$11,SUMPRODUCT(D12:H12,$L$11:$P$11)),0)</f>
        <v>0</v>
      </c>
      <c r="S12" s="35"/>
      <c r="V12" s="14">
        <f>SUM(R12:S12)</f>
        <v>0</v>
      </c>
      <c r="W12" s="3" t="s">
        <v>24</v>
      </c>
    </row>
    <row r="13" spans="2:23" ht="13.5" thickBot="1">
      <c r="B13" s="9"/>
      <c r="C13" s="2" t="s">
        <v>25</v>
      </c>
      <c r="D13" s="8">
        <f>+'Input Sheet'!M10</f>
        <v>0</v>
      </c>
      <c r="E13" s="8">
        <f>+'Input Sheet'!$M$11</f>
        <v>0</v>
      </c>
      <c r="F13" s="8">
        <f>+'Input Sheet'!$M$12</f>
        <v>0</v>
      </c>
      <c r="G13" s="8">
        <f>+'Input Sheet'!$M$13</f>
        <v>0</v>
      </c>
      <c r="H13" s="8">
        <f>+'Input Sheet'!$M$14</f>
        <v>0</v>
      </c>
      <c r="J13" s="8">
        <f>SUM(D13:G13)</f>
        <v>0</v>
      </c>
      <c r="L13" s="103">
        <v>1</v>
      </c>
      <c r="M13" s="102"/>
      <c r="N13" s="103">
        <f>+M41</f>
        <v>0.2</v>
      </c>
      <c r="Q13" s="2" t="s">
        <v>25</v>
      </c>
      <c r="R13" s="16">
        <f>IF(D7&gt;0,IF(D13&gt;0,SUMPRODUCT(D13:H13,$L$11:$P$11)-1*$L$11,SUMPRODUCT(D13:H13,$L$11:$P$11)),0)</f>
        <v>0</v>
      </c>
      <c r="S13" s="35"/>
      <c r="V13" s="16">
        <f>SUM(R13:S13)</f>
        <v>0</v>
      </c>
      <c r="W13" s="17">
        <f>SUM(V11:V13)</f>
        <v>0</v>
      </c>
    </row>
    <row r="14" spans="11:18" ht="6" customHeight="1" thickTop="1">
      <c r="K14" s="9"/>
      <c r="L14" s="9"/>
      <c r="M14" s="9"/>
      <c r="N14" s="9"/>
      <c r="O14" s="9"/>
      <c r="P14" s="9"/>
      <c r="R14" s="9"/>
    </row>
    <row r="15" spans="2:18" ht="13.5" customHeight="1" thickBot="1">
      <c r="B15" s="9" t="s">
        <v>12</v>
      </c>
      <c r="J15" s="9"/>
      <c r="K15" s="9"/>
      <c r="R15" s="9"/>
    </row>
    <row r="16" spans="3:22" ht="13.5" thickTop="1">
      <c r="C16" s="2" t="s">
        <v>6</v>
      </c>
      <c r="D16" s="5">
        <f>+'Input Sheet'!E23</f>
        <v>0</v>
      </c>
      <c r="J16" s="9"/>
      <c r="K16" s="9"/>
      <c r="L16" s="18" t="s">
        <v>26</v>
      </c>
      <c r="M16" s="9"/>
      <c r="N16" s="9"/>
      <c r="O16" s="9"/>
      <c r="P16" s="9"/>
      <c r="Q16" s="2" t="s">
        <v>6</v>
      </c>
      <c r="R16" s="128">
        <f>IF('Input Sheet'!E24="yes",D16*$L$18,D16*N18)</f>
        <v>0</v>
      </c>
      <c r="V16" s="19">
        <f>SUM(R16)</f>
        <v>0</v>
      </c>
    </row>
    <row r="17" spans="3:22" ht="12.75">
      <c r="C17" s="2" t="s">
        <v>23</v>
      </c>
      <c r="D17" s="6">
        <f>+'Input Sheet'!I23</f>
        <v>0</v>
      </c>
      <c r="L17" s="2" t="s">
        <v>27</v>
      </c>
      <c r="N17" s="9"/>
      <c r="O17" s="9"/>
      <c r="P17" s="9"/>
      <c r="Q17" s="2" t="s">
        <v>23</v>
      </c>
      <c r="R17" s="129">
        <f>IF($D$6="Yes",IF('Input Sheet'!I24="No",D17*$L$18,D17*N18),0)</f>
        <v>0</v>
      </c>
      <c r="V17" s="20">
        <f>SUM(R17)</f>
        <v>0</v>
      </c>
    </row>
    <row r="18" spans="3:22" ht="13.5" thickBot="1">
      <c r="C18" s="2" t="s">
        <v>25</v>
      </c>
      <c r="D18" s="8">
        <f>+'Input Sheet'!M23</f>
        <v>0</v>
      </c>
      <c r="L18" s="11">
        <v>15000</v>
      </c>
      <c r="N18" s="11">
        <f>+'Input Sheet'!S24</f>
        <v>0</v>
      </c>
      <c r="Q18" s="2" t="s">
        <v>25</v>
      </c>
      <c r="R18" s="130">
        <f>IF($D$7&gt;0,IF('Input Sheet'!M24="No",D18*$L$18,D18*N18),0)</f>
        <v>0</v>
      </c>
      <c r="V18" s="21">
        <f>SUM(R18)</f>
        <v>0</v>
      </c>
    </row>
    <row r="19" ht="6" customHeight="1" thickTop="1">
      <c r="R19" s="131"/>
    </row>
    <row r="20" ht="13.5" thickBot="1"/>
    <row r="21" spans="2:22" ht="13.5" thickTop="1">
      <c r="B21" s="2" t="s">
        <v>28</v>
      </c>
      <c r="C21" s="2" t="s">
        <v>6</v>
      </c>
      <c r="D21" s="5">
        <f>+'Input Sheet'!E15</f>
        <v>0</v>
      </c>
      <c r="L21" s="101" t="s">
        <v>76</v>
      </c>
      <c r="Q21" s="2" t="s">
        <v>6</v>
      </c>
      <c r="R21" s="19">
        <f>D21*$L$22</f>
        <v>0</v>
      </c>
      <c r="V21" s="19">
        <f>SUM(R21)</f>
        <v>0</v>
      </c>
    </row>
    <row r="22" spans="3:23" ht="13.5" thickBot="1">
      <c r="C22" s="2" t="s">
        <v>23</v>
      </c>
      <c r="D22" s="6">
        <f>+'Input Sheet'!I15</f>
        <v>0</v>
      </c>
      <c r="L22" s="22">
        <v>2000</v>
      </c>
      <c r="Q22" s="2" t="s">
        <v>23</v>
      </c>
      <c r="R22" s="20">
        <f>IF($D$6="yes",D22*$L$22,0)</f>
        <v>0</v>
      </c>
      <c r="V22" s="20">
        <f>SUM(R22)</f>
        <v>0</v>
      </c>
      <c r="W22" s="3" t="s">
        <v>30</v>
      </c>
    </row>
    <row r="23" spans="3:23" ht="13.5" thickBot="1">
      <c r="C23" s="2" t="s">
        <v>25</v>
      </c>
      <c r="D23" s="8">
        <f>+'Input Sheet'!M15</f>
        <v>0</v>
      </c>
      <c r="Q23" s="2" t="s">
        <v>25</v>
      </c>
      <c r="R23" s="21">
        <f>IF($D$7&gt;0,D23*$L$22,0)</f>
        <v>0</v>
      </c>
      <c r="V23" s="21">
        <f>SUM(R23)</f>
        <v>0</v>
      </c>
      <c r="W23" s="17">
        <f>SUM(V21:V23)</f>
        <v>0</v>
      </c>
    </row>
    <row r="24" ht="13.5" thickTop="1"/>
    <row r="25" ht="6" customHeight="1"/>
    <row r="26" spans="4:16" ht="12.75">
      <c r="D26" s="3" t="s">
        <v>31</v>
      </c>
      <c r="E26" s="3" t="s">
        <v>32</v>
      </c>
      <c r="F26" s="3" t="s">
        <v>31</v>
      </c>
      <c r="G26" s="3" t="s">
        <v>32</v>
      </c>
      <c r="H26" s="3" t="s">
        <v>31</v>
      </c>
      <c r="I26" s="3" t="s">
        <v>32</v>
      </c>
      <c r="P26" s="3"/>
    </row>
    <row r="27" spans="2:20" ht="13.5" thickBot="1">
      <c r="B27" s="2" t="s">
        <v>33</v>
      </c>
      <c r="D27" s="3" t="s">
        <v>11</v>
      </c>
      <c r="E27" s="88" t="s">
        <v>11</v>
      </c>
      <c r="F27" s="88" t="s">
        <v>63</v>
      </c>
      <c r="G27" s="88" t="s">
        <v>63</v>
      </c>
      <c r="H27" s="88" t="s">
        <v>91</v>
      </c>
      <c r="I27" s="88" t="s">
        <v>91</v>
      </c>
      <c r="M27" s="23" t="s">
        <v>11</v>
      </c>
      <c r="N27" s="90" t="s">
        <v>92</v>
      </c>
      <c r="O27" s="88" t="s">
        <v>91</v>
      </c>
      <c r="P27" s="24"/>
      <c r="R27" s="23" t="s">
        <v>11</v>
      </c>
      <c r="S27" s="90" t="s">
        <v>92</v>
      </c>
      <c r="T27" s="88" t="s">
        <v>91</v>
      </c>
    </row>
    <row r="28" spans="3:28" ht="13.5" thickTop="1">
      <c r="C28" s="2" t="s">
        <v>6</v>
      </c>
      <c r="D28" s="25">
        <f>+'Input Sheet'!$E$18</f>
        <v>0</v>
      </c>
      <c r="E28" s="5">
        <f>+'Input Sheet'!$G$18</f>
        <v>0</v>
      </c>
      <c r="F28" s="26">
        <f>+'Input Sheet'!$E$19</f>
        <v>0</v>
      </c>
      <c r="G28" s="26">
        <f>+'Input Sheet'!$G$19</f>
        <v>0</v>
      </c>
      <c r="H28" s="26">
        <f>+'Input Sheet'!$E$20</f>
        <v>0</v>
      </c>
      <c r="I28" s="26">
        <f>+'Input Sheet'!$G$20</f>
        <v>0</v>
      </c>
      <c r="L28" s="104" t="s">
        <v>78</v>
      </c>
      <c r="M28" s="28">
        <v>20</v>
      </c>
      <c r="N28" s="28">
        <v>125</v>
      </c>
      <c r="O28" s="28">
        <v>250</v>
      </c>
      <c r="Q28" s="2" t="s">
        <v>6</v>
      </c>
      <c r="R28" s="29">
        <f>D28*$M$28+E28*$M$29</f>
        <v>0</v>
      </c>
      <c r="S28" s="133">
        <f>F28*$N$28+G28*$N$29</f>
        <v>0</v>
      </c>
      <c r="T28" s="30">
        <f>H28*$O$28+I28*$O$29</f>
        <v>0</v>
      </c>
      <c r="V28" s="12">
        <f>SUM(R28:T28)</f>
        <v>0</v>
      </c>
      <c r="Z28" s="23" t="s">
        <v>11</v>
      </c>
      <c r="AA28" s="90" t="s">
        <v>63</v>
      </c>
      <c r="AB28" s="3" t="s">
        <v>77</v>
      </c>
    </row>
    <row r="29" spans="2:28" ht="13.5" thickBot="1">
      <c r="B29" s="31"/>
      <c r="C29" s="2" t="s">
        <v>23</v>
      </c>
      <c r="D29" s="32">
        <f>+'Input Sheet'!$I$18</f>
        <v>0</v>
      </c>
      <c r="E29" s="6">
        <f>+'Input Sheet'!$K$18</f>
        <v>0</v>
      </c>
      <c r="F29" s="33">
        <f>+'Input Sheet'!$I$19</f>
        <v>0</v>
      </c>
      <c r="G29" s="33">
        <f>+'Input Sheet'!$K$19</f>
        <v>0</v>
      </c>
      <c r="H29" s="33">
        <f>+'Input Sheet'!$I$20</f>
        <v>0</v>
      </c>
      <c r="I29" s="33">
        <f>+'Input Sheet'!$K$20</f>
        <v>0</v>
      </c>
      <c r="L29" s="34" t="s">
        <v>35</v>
      </c>
      <c r="M29" s="28">
        <f>M28*3</f>
        <v>60</v>
      </c>
      <c r="N29" s="28">
        <f>N28*3</f>
        <v>375</v>
      </c>
      <c r="O29" s="28">
        <f>O28*3</f>
        <v>750</v>
      </c>
      <c r="Q29" s="2" t="s">
        <v>23</v>
      </c>
      <c r="R29" s="35">
        <f>IF($D$6="yes",D29*$M$28+E29*$M$29,0)</f>
        <v>0</v>
      </c>
      <c r="S29" s="13">
        <f>IF($D$6="yes",F29*$N$28+G29*$N$29,0)</f>
        <v>0</v>
      </c>
      <c r="T29" s="36">
        <f>IF($D$6="yes",H29*$O$28+I29*$O$29,0)</f>
        <v>0</v>
      </c>
      <c r="V29" s="14">
        <f>SUM(R29:T29)</f>
        <v>0</v>
      </c>
      <c r="W29" s="3" t="s">
        <v>36</v>
      </c>
      <c r="Y29" s="104" t="s">
        <v>78</v>
      </c>
      <c r="Z29" s="28">
        <v>20</v>
      </c>
      <c r="AA29" s="28">
        <v>100</v>
      </c>
      <c r="AB29" s="28">
        <v>250</v>
      </c>
    </row>
    <row r="30" spans="2:28" ht="13.5" thickBot="1">
      <c r="B30" s="31"/>
      <c r="C30" s="2" t="s">
        <v>25</v>
      </c>
      <c r="D30" s="37">
        <f>+'Input Sheet'!$M$18</f>
        <v>0</v>
      </c>
      <c r="E30" s="8">
        <f>+'Input Sheet'!$O$18</f>
        <v>0</v>
      </c>
      <c r="F30" s="38">
        <f>+'Input Sheet'!$M$19</f>
        <v>0</v>
      </c>
      <c r="G30" s="38">
        <f>+'Input Sheet'!$O$19</f>
        <v>0</v>
      </c>
      <c r="H30" s="38">
        <f>+'Input Sheet'!$M$20</f>
        <v>0</v>
      </c>
      <c r="I30" s="38">
        <f>+'Input Sheet'!$O$20</f>
        <v>0</v>
      </c>
      <c r="Q30" s="2" t="s">
        <v>25</v>
      </c>
      <c r="R30" s="39">
        <f>IF($D$7&gt;0,D30*$M$28+E30*$M$29,0)</f>
        <v>0</v>
      </c>
      <c r="S30" s="134">
        <f>IF($D$7&gt;0,F30*$N$28+G30*$N$29,0)</f>
        <v>0</v>
      </c>
      <c r="T30" s="40">
        <f>IF($D$7&gt;0,H30*$O$28+I30*$O$29,0)</f>
        <v>0</v>
      </c>
      <c r="V30" s="16">
        <f>SUM(R30:T30)</f>
        <v>0</v>
      </c>
      <c r="W30" s="17">
        <f>SUM(V28:V30)</f>
        <v>0</v>
      </c>
      <c r="Y30" s="34" t="s">
        <v>35</v>
      </c>
      <c r="Z30" s="28">
        <f>Z29*2</f>
        <v>40</v>
      </c>
      <c r="AA30" s="28">
        <f>AA29*2</f>
        <v>200</v>
      </c>
      <c r="AB30" s="28">
        <f>AB29*2</f>
        <v>500</v>
      </c>
    </row>
    <row r="31" ht="13.5" thickTop="1"/>
    <row r="32" ht="12.75"/>
    <row r="33" spans="2:9" ht="12.75">
      <c r="B33" s="2" t="s">
        <v>37</v>
      </c>
      <c r="D33" s="88" t="s">
        <v>24</v>
      </c>
      <c r="E33" s="88"/>
      <c r="F33" s="3" t="s">
        <v>79</v>
      </c>
      <c r="G33" s="88" t="s">
        <v>60</v>
      </c>
      <c r="H33" s="88" t="s">
        <v>80</v>
      </c>
      <c r="I33" s="7" t="s">
        <v>41</v>
      </c>
    </row>
    <row r="34" spans="2:9" ht="12.75">
      <c r="B34" s="42" t="s">
        <v>42</v>
      </c>
      <c r="C34" s="2" t="s">
        <v>6</v>
      </c>
      <c r="D34" s="13">
        <f>+R11</f>
        <v>0</v>
      </c>
      <c r="E34" s="13"/>
      <c r="F34" s="13">
        <f>+R16</f>
        <v>0</v>
      </c>
      <c r="G34" s="44">
        <f>+R21</f>
        <v>0</v>
      </c>
      <c r="H34" s="13">
        <f>SUM(R28:T28)</f>
        <v>0</v>
      </c>
      <c r="I34" s="13">
        <f>SUM(D34:H34)</f>
        <v>0</v>
      </c>
    </row>
    <row r="35" spans="3:9" ht="12.75">
      <c r="C35" s="2" t="s">
        <v>23</v>
      </c>
      <c r="D35" s="13">
        <f>+R12</f>
        <v>0</v>
      </c>
      <c r="E35" s="13"/>
      <c r="F35" s="13">
        <f>+R17</f>
        <v>0</v>
      </c>
      <c r="G35" s="44">
        <f>+R22</f>
        <v>0</v>
      </c>
      <c r="H35" s="13">
        <f>SUM(R29:T29)</f>
        <v>0</v>
      </c>
      <c r="I35" s="13">
        <f>SUM(D35:H35)</f>
        <v>0</v>
      </c>
    </row>
    <row r="36" spans="3:9" ht="12.75">
      <c r="C36" s="2" t="s">
        <v>25</v>
      </c>
      <c r="D36" s="13">
        <f>+R13</f>
        <v>0</v>
      </c>
      <c r="E36" s="13"/>
      <c r="F36" s="13">
        <f>+R18</f>
        <v>0</v>
      </c>
      <c r="G36" s="44">
        <f>+R23</f>
        <v>0</v>
      </c>
      <c r="H36" s="13">
        <f>SUM(R30:T30)</f>
        <v>0</v>
      </c>
      <c r="I36" s="13">
        <f>SUM(D36:H36)</f>
        <v>0</v>
      </c>
    </row>
    <row r="37" ht="7.5" customHeight="1">
      <c r="G37" s="3"/>
    </row>
    <row r="38" spans="4:9" ht="12.75">
      <c r="D38" s="13">
        <f>SUM(D34:D36)</f>
        <v>0</v>
      </c>
      <c r="E38" s="13"/>
      <c r="F38" s="13">
        <f>SUM(F34:F36)</f>
        <v>0</v>
      </c>
      <c r="G38" s="13">
        <f>SUM(G34:G36)</f>
        <v>0</v>
      </c>
      <c r="H38" s="13">
        <f>SUM(H34:H36)</f>
        <v>0</v>
      </c>
      <c r="I38" s="13">
        <f>SUM(I34:I36)</f>
        <v>0</v>
      </c>
    </row>
    <row r="39" ht="13.5" thickBot="1">
      <c r="O39" s="2" t="s">
        <v>43</v>
      </c>
    </row>
    <row r="40" spans="2:19" ht="12.75">
      <c r="B40" s="2" t="s">
        <v>44</v>
      </c>
      <c r="D40" s="89" t="s">
        <v>81</v>
      </c>
      <c r="E40" s="7" t="s">
        <v>46</v>
      </c>
      <c r="F40" s="3" t="s">
        <v>43</v>
      </c>
      <c r="G40" s="2" t="s">
        <v>47</v>
      </c>
      <c r="H40" s="105"/>
      <c r="I40" s="7" t="s">
        <v>48</v>
      </c>
      <c r="M40" s="3" t="s">
        <v>43</v>
      </c>
      <c r="N40" s="3" t="s">
        <v>49</v>
      </c>
      <c r="O40" s="2" t="s">
        <v>48</v>
      </c>
      <c r="Q40" s="9" t="s">
        <v>50</v>
      </c>
      <c r="S40" s="3" t="s">
        <v>51</v>
      </c>
    </row>
    <row r="41" spans="3:22" ht="12.75">
      <c r="C41" s="2" t="s">
        <v>6</v>
      </c>
      <c r="D41" s="43">
        <f>SUM(D34:H34)</f>
        <v>0</v>
      </c>
      <c r="E41" s="13">
        <f>IF($D$41&lt;$N$41,$D$41,$N$41)</f>
        <v>0</v>
      </c>
      <c r="F41" s="13">
        <f>IF(((+D41-E41)*$M$41)&gt;O41,O41,((+D41-E41)*$M$41))</f>
        <v>0</v>
      </c>
      <c r="G41" s="13">
        <f>+E41+F41</f>
        <v>0</v>
      </c>
      <c r="H41" s="106"/>
      <c r="I41" s="13">
        <f>+G41</f>
        <v>0</v>
      </c>
      <c r="L41" s="2" t="s">
        <v>6</v>
      </c>
      <c r="M41" s="47">
        <v>0.2</v>
      </c>
      <c r="N41" s="22">
        <v>1250</v>
      </c>
      <c r="O41" s="22">
        <v>2050</v>
      </c>
      <c r="P41" s="22"/>
      <c r="Q41" s="22">
        <f>+N41+O41</f>
        <v>3300</v>
      </c>
      <c r="S41" s="107">
        <v>2</v>
      </c>
      <c r="V41" s="107">
        <f>IF(D41=0,0,1)</f>
        <v>0</v>
      </c>
    </row>
    <row r="42" spans="3:22" ht="12.75">
      <c r="C42" s="2" t="s">
        <v>23</v>
      </c>
      <c r="D42" s="43">
        <f>SUM(D35:H35)</f>
        <v>0</v>
      </c>
      <c r="E42" s="13">
        <f>IF($D$42&lt;$N$42,$D$42,$N$42)</f>
        <v>0</v>
      </c>
      <c r="F42" s="13">
        <f>IF(((+D42-E42)*$M$41)&gt;O42,O42,((+D42-E42)*$M$41))</f>
        <v>0</v>
      </c>
      <c r="G42" s="13">
        <f>+E42+F42</f>
        <v>0</v>
      </c>
      <c r="H42" s="106"/>
      <c r="I42" s="13">
        <f>+G42</f>
        <v>0</v>
      </c>
      <c r="L42" s="2" t="s">
        <v>23</v>
      </c>
      <c r="M42" s="47">
        <f>+M41</f>
        <v>0.2</v>
      </c>
      <c r="N42" s="22">
        <v>1250</v>
      </c>
      <c r="O42" s="22">
        <v>2050</v>
      </c>
      <c r="P42" s="22"/>
      <c r="Q42" s="22">
        <f>+N42+O42</f>
        <v>3300</v>
      </c>
      <c r="V42" s="107">
        <f>IF(D42=0,0,1)</f>
        <v>0</v>
      </c>
    </row>
    <row r="43" spans="3:22" ht="12.75">
      <c r="C43" s="2" t="s">
        <v>25</v>
      </c>
      <c r="D43" s="43">
        <f>SUM(D36:H36)</f>
        <v>0</v>
      </c>
      <c r="E43" s="13">
        <f>IF($D$43&lt;$N$43,$D$43,$N$43)</f>
        <v>0</v>
      </c>
      <c r="F43" s="13">
        <f>IF(((+D43-E43)*$M$41)&gt;O43,O43,((+D43-E43)*$M$41))</f>
        <v>0</v>
      </c>
      <c r="G43" s="13">
        <f>+E43+F43</f>
        <v>0</v>
      </c>
      <c r="H43" s="106"/>
      <c r="I43" s="13">
        <f>+G43</f>
        <v>0</v>
      </c>
      <c r="L43" s="2" t="s">
        <v>25</v>
      </c>
      <c r="M43" s="47">
        <f>+M42</f>
        <v>0.2</v>
      </c>
      <c r="N43" s="22">
        <v>1250</v>
      </c>
      <c r="O43" s="22">
        <v>2050</v>
      </c>
      <c r="P43" s="22"/>
      <c r="Q43" s="22">
        <f>+N43+O43</f>
        <v>3300</v>
      </c>
      <c r="V43" s="107">
        <f>IF(D43=0,0,1)</f>
        <v>0</v>
      </c>
    </row>
    <row r="44" spans="4:8" ht="7.5" customHeight="1">
      <c r="D44" s="45"/>
      <c r="G44" s="3"/>
      <c r="H44" s="108"/>
    </row>
    <row r="45" spans="4:22" ht="13.5" thickBot="1">
      <c r="D45" s="46">
        <f>SUM(D41:D43)</f>
        <v>0</v>
      </c>
      <c r="E45" s="13">
        <f>IF(SUM(E41:E43)&gt;N45,N45,SUM(E41:E43))</f>
        <v>0</v>
      </c>
      <c r="F45" s="13">
        <f>IF(SUM(F41:F43)&gt;O45,O45,SUM(F41:F43))</f>
        <v>0</v>
      </c>
      <c r="G45" s="13">
        <f>SUM(E45:F45)</f>
        <v>0</v>
      </c>
      <c r="H45" s="106"/>
      <c r="I45" s="13">
        <f>+G45</f>
        <v>0</v>
      </c>
      <c r="L45" s="2" t="s">
        <v>1</v>
      </c>
      <c r="M45" s="48">
        <f>M41</f>
        <v>0.2</v>
      </c>
      <c r="N45" s="44">
        <f>IF($I$59&gt;1,N41*$S$41,N41)</f>
        <v>1250</v>
      </c>
      <c r="O45" s="44">
        <f>IF(I59&gt;1,$S$41*O41,O41)</f>
        <v>2050</v>
      </c>
      <c r="P45" s="44"/>
      <c r="Q45" s="44">
        <f>SUM(Q41:Q43)</f>
        <v>9900</v>
      </c>
      <c r="V45" s="3">
        <f>SUM(V41:V43)</f>
        <v>0</v>
      </c>
    </row>
    <row r="46" spans="13:14" ht="13.5" thickBot="1">
      <c r="M46" s="49"/>
      <c r="N46" s="49"/>
    </row>
    <row r="47" spans="2:18" ht="13.5" thickBot="1">
      <c r="B47" s="50"/>
      <c r="C47" s="50"/>
      <c r="D47" s="51"/>
      <c r="E47" s="52"/>
      <c r="F47" s="53"/>
      <c r="G47" s="54"/>
      <c r="H47" s="55" t="s">
        <v>52</v>
      </c>
      <c r="I47" s="56">
        <f>+I45</f>
        <v>0</v>
      </c>
      <c r="L47" s="49" t="s">
        <v>53</v>
      </c>
      <c r="M47" s="49" t="s">
        <v>48</v>
      </c>
      <c r="N47" s="49"/>
      <c r="Q47" s="57">
        <f>IF(J59&gt;0,Q41)</f>
        <v>3300</v>
      </c>
      <c r="R47" s="58"/>
    </row>
    <row r="48" spans="2:18" ht="13.5" thickBot="1">
      <c r="B48" s="50"/>
      <c r="C48" s="50"/>
      <c r="D48" s="59"/>
      <c r="E48" s="52"/>
      <c r="F48" s="53"/>
      <c r="G48" s="60"/>
      <c r="H48" s="34" t="s">
        <v>0</v>
      </c>
      <c r="I48" s="127">
        <f>+R68</f>
        <v>0</v>
      </c>
      <c r="L48" s="49" t="s">
        <v>54</v>
      </c>
      <c r="M48" s="49" t="s">
        <v>48</v>
      </c>
      <c r="N48" s="49"/>
      <c r="Q48" s="57">
        <f>IF(J59&gt;1,Q42,0)</f>
        <v>0</v>
      </c>
      <c r="R48" s="58"/>
    </row>
    <row r="49" spans="2:19" ht="13.5" thickBot="1">
      <c r="B49" s="50"/>
      <c r="C49" s="50"/>
      <c r="D49" s="59"/>
      <c r="E49" s="52"/>
      <c r="F49" s="53"/>
      <c r="G49" s="62"/>
      <c r="H49" s="63" t="s">
        <v>14</v>
      </c>
      <c r="I49" s="64">
        <f>+I47+I48</f>
        <v>0</v>
      </c>
      <c r="L49" s="65"/>
      <c r="M49" s="65"/>
      <c r="N49" s="65"/>
      <c r="O49" s="9"/>
      <c r="P49" s="9"/>
      <c r="Q49" s="66"/>
      <c r="R49" s="67"/>
      <c r="S49" s="9"/>
    </row>
    <row r="50" spans="2:18" ht="13.5" thickBot="1">
      <c r="B50" s="50"/>
      <c r="C50" s="50"/>
      <c r="D50" s="51"/>
      <c r="E50" s="68"/>
      <c r="F50" s="53"/>
      <c r="G50" s="69"/>
      <c r="H50" s="70"/>
      <c r="I50" s="71"/>
      <c r="L50" s="49" t="s">
        <v>41</v>
      </c>
      <c r="M50" s="49" t="s">
        <v>48</v>
      </c>
      <c r="N50" s="49"/>
      <c r="Q50" s="57">
        <f>IF($J$59&gt;1,SUM(Q47:Q48),Q41)</f>
        <v>3300</v>
      </c>
      <c r="R50" s="58"/>
    </row>
    <row r="51" spans="2:9" ht="3" customHeight="1">
      <c r="B51" s="50"/>
      <c r="C51" s="50"/>
      <c r="D51" s="59"/>
      <c r="E51" s="50"/>
      <c r="G51" s="9"/>
      <c r="H51" s="9"/>
      <c r="I51" s="7"/>
    </row>
    <row r="52" spans="7:12" ht="16.5" thickBot="1">
      <c r="G52" s="9"/>
      <c r="H52" s="9"/>
      <c r="I52" s="72"/>
      <c r="J52" s="73"/>
      <c r="K52" s="73"/>
      <c r="L52" s="74"/>
    </row>
    <row r="53" spans="2:18" ht="16.5" thickBot="1">
      <c r="B53" s="54"/>
      <c r="C53" s="75"/>
      <c r="D53" s="76"/>
      <c r="E53" s="76"/>
      <c r="F53" s="76"/>
      <c r="G53" s="69"/>
      <c r="H53" s="69"/>
      <c r="I53" s="77">
        <v>0</v>
      </c>
      <c r="J53" s="73"/>
      <c r="K53" s="73"/>
      <c r="L53" s="49" t="s">
        <v>53</v>
      </c>
      <c r="M53" s="49" t="s">
        <v>55</v>
      </c>
      <c r="Q53" s="57">
        <f>Q47-G41</f>
        <v>3300</v>
      </c>
      <c r="R53" s="58"/>
    </row>
    <row r="54" spans="2:18" ht="16.5" thickBot="1">
      <c r="B54" s="54"/>
      <c r="C54" s="78"/>
      <c r="D54" s="76"/>
      <c r="E54" s="76"/>
      <c r="F54" s="76"/>
      <c r="G54" s="79"/>
      <c r="H54" s="79"/>
      <c r="I54" s="80"/>
      <c r="J54" s="73"/>
      <c r="K54" s="73"/>
      <c r="L54" s="49" t="s">
        <v>54</v>
      </c>
      <c r="M54" s="49" t="s">
        <v>55</v>
      </c>
      <c r="Q54" s="109">
        <f>IF(SUM(G42:G43)&gt;Q48,0,Q48-SUM(G42:G43))</f>
        <v>0</v>
      </c>
      <c r="R54" s="58"/>
    </row>
    <row r="55" spans="2:19" ht="16.5" thickBot="1">
      <c r="B55" s="60"/>
      <c r="C55" s="59"/>
      <c r="G55" s="81"/>
      <c r="H55" s="81"/>
      <c r="I55" s="82">
        <f>IF($D$5="Yes",1,0)</f>
        <v>1</v>
      </c>
      <c r="J55" s="82">
        <f>IF($D$5="Yes",1,0)</f>
        <v>1</v>
      </c>
      <c r="K55" s="73"/>
      <c r="L55" s="65"/>
      <c r="M55" s="65"/>
      <c r="N55" s="9"/>
      <c r="O55" s="9"/>
      <c r="P55" s="9"/>
      <c r="Q55" s="66"/>
      <c r="R55" s="67"/>
      <c r="S55" s="9"/>
    </row>
    <row r="56" spans="2:23" ht="13.5" thickBot="1">
      <c r="B56" s="60"/>
      <c r="C56" s="59"/>
      <c r="G56" s="81"/>
      <c r="H56" s="81"/>
      <c r="I56" s="82">
        <f>IF($D$6="Yes",2,0)</f>
        <v>0</v>
      </c>
      <c r="J56" s="82">
        <f>IF($D$6="Yes",2,0)</f>
        <v>0</v>
      </c>
      <c r="L56" s="49" t="s">
        <v>41</v>
      </c>
      <c r="M56" s="49" t="s">
        <v>55</v>
      </c>
      <c r="Q56" s="57">
        <f>Q50-R63</f>
        <v>3300</v>
      </c>
      <c r="R56" s="58"/>
      <c r="V56" s="110">
        <f>Q50-G45-R65</f>
        <v>3300</v>
      </c>
      <c r="W56" s="111"/>
    </row>
    <row r="57" spans="2:12" ht="16.5" thickBot="1">
      <c r="B57" s="60"/>
      <c r="C57" s="59"/>
      <c r="G57" s="81"/>
      <c r="H57" s="81"/>
      <c r="I57" s="82">
        <f>IF($D$7&gt;0,3,0)</f>
        <v>0</v>
      </c>
      <c r="J57" s="82">
        <f>IF($D$7=0,0,IF($D$7=1,2,IF($D$7&gt;1,3,0)))</f>
        <v>0</v>
      </c>
      <c r="L57" s="74"/>
    </row>
    <row r="58" spans="2:18" ht="13.5" thickBot="1">
      <c r="B58" s="60"/>
      <c r="I58" s="80"/>
      <c r="J58" s="80"/>
      <c r="L58" s="49" t="s">
        <v>116</v>
      </c>
      <c r="Q58" s="57">
        <f>+'Input Sheet'!I29</f>
        <v>0</v>
      </c>
      <c r="R58" s="58"/>
    </row>
    <row r="59" spans="2:10" ht="12.75">
      <c r="B59" s="60"/>
      <c r="I59" s="83">
        <f>SUM(I55:I57)</f>
        <v>1</v>
      </c>
      <c r="J59" s="83">
        <f>SUM(J55:J57)</f>
        <v>1</v>
      </c>
    </row>
    <row r="60" spans="2:10" ht="13.5" thickBot="1">
      <c r="B60" s="62"/>
      <c r="C60" s="84"/>
      <c r="D60" s="85"/>
      <c r="E60" s="85"/>
      <c r="F60" s="85"/>
      <c r="G60" s="86"/>
      <c r="H60" s="86"/>
      <c r="I60" s="87">
        <f>IF($I$53=0,IF($I$59=1,$E$54,IF($I$59=3,$E$55,IF($I$59=4,$E$56,IF($I$59=6,$E$57)))),0)</f>
        <v>0</v>
      </c>
      <c r="J60" s="87">
        <f>IF($I$53=0,IF($I$59=1,$E$54,IF($I$59=3,$E$55,IF($I$59=4,$E$56,IF($I$59=6,$E$57)))),0)</f>
        <v>0</v>
      </c>
    </row>
    <row r="61" ht="12.75"/>
    <row r="62" ht="13.5" thickBot="1"/>
    <row r="63" spans="2:18" ht="12.75">
      <c r="B63" s="112" t="s">
        <v>94</v>
      </c>
      <c r="C63" s="235" t="s">
        <v>56</v>
      </c>
      <c r="D63" s="236"/>
      <c r="E63" s="237">
        <f>IF(D5="Yes",1,0)</f>
        <v>1</v>
      </c>
      <c r="F63" s="238">
        <f>IF(E63=1,(1250+100*12)/12*12,0)</f>
        <v>2450</v>
      </c>
      <c r="G63" s="79"/>
      <c r="H63" s="79"/>
      <c r="I63" s="60"/>
      <c r="O63" s="113"/>
      <c r="P63" s="75"/>
      <c r="Q63" s="114" t="s">
        <v>52</v>
      </c>
      <c r="R63" s="115">
        <f>+I47</f>
        <v>0</v>
      </c>
    </row>
    <row r="64" spans="2:18" ht="12.75">
      <c r="B64" s="60"/>
      <c r="C64" s="239" t="s">
        <v>7</v>
      </c>
      <c r="D64" s="239"/>
      <c r="E64" s="240"/>
      <c r="F64" s="241"/>
      <c r="G64" s="81"/>
      <c r="H64" s="81"/>
      <c r="I64" s="116"/>
      <c r="O64" s="117"/>
      <c r="Q64" s="145" t="s">
        <v>115</v>
      </c>
      <c r="R64" s="144">
        <f>IF('Input Sheet'!I28="No",0,IF(R63&gt;Q58,Q58,R63))</f>
        <v>0</v>
      </c>
    </row>
    <row r="65" spans="2:18" ht="12.75">
      <c r="B65" s="60"/>
      <c r="C65" s="239" t="s">
        <v>8</v>
      </c>
      <c r="D65" s="239"/>
      <c r="E65" s="240"/>
      <c r="F65" s="241"/>
      <c r="G65" s="81"/>
      <c r="H65" s="81"/>
      <c r="I65" s="116"/>
      <c r="O65" s="117"/>
      <c r="Q65" s="143" t="s">
        <v>114</v>
      </c>
      <c r="R65" s="144">
        <f>IF('Input Sheet'!I31="No",0,IF(SUM(R63-R64)&gt;F66,F66,SUM(R63-R64)))</f>
        <v>0</v>
      </c>
    </row>
    <row r="66" spans="2:18" ht="12.75">
      <c r="B66" s="60"/>
      <c r="C66" s="242" t="s">
        <v>126</v>
      </c>
      <c r="D66" s="243"/>
      <c r="E66" s="244">
        <f>SUM(E63:E65)</f>
        <v>1</v>
      </c>
      <c r="F66" s="245">
        <f>SUM(F63:F65)</f>
        <v>2450</v>
      </c>
      <c r="G66" s="81"/>
      <c r="H66" s="81"/>
      <c r="I66" s="116"/>
      <c r="O66" s="117"/>
      <c r="Q66" s="119" t="s">
        <v>113</v>
      </c>
      <c r="R66" s="118">
        <f>R63-R64-R65</f>
        <v>0</v>
      </c>
    </row>
    <row r="67" spans="2:18" ht="12.75">
      <c r="B67" s="60"/>
      <c r="I67" s="60"/>
      <c r="O67" s="117"/>
      <c r="Q67" s="102"/>
      <c r="R67" s="120"/>
    </row>
    <row r="68" spans="2:18" ht="13.5" thickBot="1">
      <c r="B68" s="60"/>
      <c r="I68" s="121"/>
      <c r="O68" s="117"/>
      <c r="Q68" s="102" t="s">
        <v>0</v>
      </c>
      <c r="R68" s="118">
        <f>+I60*12</f>
        <v>0</v>
      </c>
    </row>
    <row r="69" spans="2:18" ht="13.5" thickBot="1">
      <c r="B69" s="62"/>
      <c r="C69" s="84" t="s">
        <v>59</v>
      </c>
      <c r="D69" s="85"/>
      <c r="E69" s="85"/>
      <c r="F69" s="85"/>
      <c r="G69" s="86"/>
      <c r="H69" s="86"/>
      <c r="I69" s="122"/>
      <c r="O69" s="123"/>
      <c r="P69" s="86"/>
      <c r="Q69" s="124" t="s">
        <v>14</v>
      </c>
      <c r="R69" s="125">
        <f>R66+R68</f>
        <v>0</v>
      </c>
    </row>
    <row r="70" ht="13.5" thickBot="1">
      <c r="I70" s="9"/>
    </row>
    <row r="71" ht="13.5" thickBot="1">
      <c r="I71" s="57" t="str">
        <f>IF($J$59=1,"$1,000","2 x $1,000 = $2,000")</f>
        <v>$1,000</v>
      </c>
    </row>
  </sheetData>
  <sheetProtection password="8DC7" sheet="1" objects="1" scenarios="1" selectLockedCells="1" selectUnlockedCells="1"/>
  <printOptions horizontalCentered="1"/>
  <pageMargins left="0.25" right="0.25" top="0.5" bottom="0.5" header="0.5" footer="0.5"/>
  <pageSetup fitToHeight="1" fitToWidth="1" horizontalDpi="600" verticalDpi="600" orientation="landscape"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Mercer Human Resource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Healthcare Calculator</dc:title>
  <dc:subject/>
  <dc:creator>Jeff Scalph</dc:creator>
  <cp:keywords/>
  <dc:description/>
  <cp:lastModifiedBy>Micah Lenderman</cp:lastModifiedBy>
  <cp:lastPrinted>2014-05-27T16:38:05Z</cp:lastPrinted>
  <dcterms:created xsi:type="dcterms:W3CDTF">2009-02-17T22:41:57Z</dcterms:created>
  <dcterms:modified xsi:type="dcterms:W3CDTF">2022-11-13T18:36:18Z</dcterms:modified>
  <cp:category>Benefits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R34FU7KYSSSN-462-269</vt:lpwstr>
  </property>
  <property fmtid="{D5CDD505-2E9C-101B-9397-08002B2CF9AE}" pid="4" name="_dlc_DocIdItemGuid">
    <vt:lpwstr>ea31127d-37ce-4d20-a7d7-d6218eacde6f</vt:lpwstr>
  </property>
  <property fmtid="{D5CDD505-2E9C-101B-9397-08002B2CF9AE}" pid="5" name="_dlc_DocIdUrl">
    <vt:lpwstr>http://pudtoday/org/hr/_layouts/15/DocIdRedir.aspx?ID=R34FU7KYSSSN-462-269, R34FU7KYSSSN-462-269</vt:lpwstr>
  </property>
  <property fmtid="{D5CDD505-2E9C-101B-9397-08002B2CF9AE}" pid="6" name="MSIP_Label_34193148-6930-4f89-8cd5-2521ed9151d1_Enabled">
    <vt:lpwstr>True</vt:lpwstr>
  </property>
  <property fmtid="{D5CDD505-2E9C-101B-9397-08002B2CF9AE}" pid="7" name="MSIP_Label_34193148-6930-4f89-8cd5-2521ed9151d1_SiteId">
    <vt:lpwstr>be002879-154d-4d36-b10b-5b72a0c59bd0</vt:lpwstr>
  </property>
  <property fmtid="{D5CDD505-2E9C-101B-9397-08002B2CF9AE}" pid="8" name="MSIP_Label_34193148-6930-4f89-8cd5-2521ed9151d1_Owner">
    <vt:lpwstr>Micah.Lenderman@chelanpud.org</vt:lpwstr>
  </property>
  <property fmtid="{D5CDD505-2E9C-101B-9397-08002B2CF9AE}" pid="9" name="MSIP_Label_34193148-6930-4f89-8cd5-2521ed9151d1_SetDate">
    <vt:lpwstr>2022-11-13T18:36:16.3446435Z</vt:lpwstr>
  </property>
  <property fmtid="{D5CDD505-2E9C-101B-9397-08002B2CF9AE}" pid="10" name="MSIP_Label_34193148-6930-4f89-8cd5-2521ed9151d1_Name">
    <vt:lpwstr>General</vt:lpwstr>
  </property>
  <property fmtid="{D5CDD505-2E9C-101B-9397-08002B2CF9AE}" pid="11" name="MSIP_Label_34193148-6930-4f89-8cd5-2521ed9151d1_Application">
    <vt:lpwstr>Microsoft Azure Information Protection</vt:lpwstr>
  </property>
  <property fmtid="{D5CDD505-2E9C-101B-9397-08002B2CF9AE}" pid="12" name="MSIP_Label_34193148-6930-4f89-8cd5-2521ed9151d1_ActionId">
    <vt:lpwstr>be0ec6e9-631d-4a7e-9407-184c083f3ca1</vt:lpwstr>
  </property>
  <property fmtid="{D5CDD505-2E9C-101B-9397-08002B2CF9AE}" pid="13" name="MSIP_Label_34193148-6930-4f89-8cd5-2521ed9151d1_Extended_MSFT_Method">
    <vt:lpwstr>Automatic</vt:lpwstr>
  </property>
  <property fmtid="{D5CDD505-2E9C-101B-9397-08002B2CF9AE}" pid="14" name="Sensitivity">
    <vt:lpwstr>General</vt:lpwstr>
  </property>
</Properties>
</file>